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emigbr-my.sharepoint.com/personal/arthur_oliveira_cemig_com_br/Documents/Área de Trabalho/Formulários - Em modificação/"/>
    </mc:Choice>
  </mc:AlternateContent>
  <xr:revisionPtr revIDLastSave="514" documentId="14_{F1078CAA-434C-410B-8A8B-C9E6595C7931}" xr6:coauthVersionLast="47" xr6:coauthVersionMax="47" xr10:uidLastSave="{CE2AB952-712C-48D6-B48C-F0EA51356479}"/>
  <workbookProtection workbookAlgorithmName="SHA-512" workbookHashValue="qxZvKW0kSOb6RMDJOWpWGGdqcpUjFCzalqjUKxnm9/OPv0aDsZDMALD5gRxjTZQzPZCV2P86CjGUUeo6E21c0Q==" workbookSaltValue="tsqB28KIeY33mQU/L+0sjQ==" workbookSpinCount="100000" lockStructure="1"/>
  <bookViews>
    <workbookView xWindow="-108" yWindow="-108" windowWidth="23256" windowHeight="12456" tabRatio="916" xr2:uid="{00000000-000D-0000-FFFF-FFFF00000000}"/>
  </bookViews>
  <sheets>
    <sheet name="Formulário MT" sheetId="1" r:id="rId1"/>
    <sheet name="Planilha5" sheetId="13" state="hidden" r:id="rId2"/>
    <sheet name="SUB-CLASSE" sheetId="11" state="hidden" r:id="rId3"/>
    <sheet name="CLASSE" sheetId="12" state="hidden" r:id="rId4"/>
    <sheet name="Anexo I - Compartilhadas (2)" sheetId="17" state="hidden" r:id="rId5"/>
    <sheet name="Anexo I - Unidades_Adicionais" sheetId="8" r:id="rId6"/>
    <sheet name="Valid. CPF" sheetId="4" state="hidden" r:id="rId7"/>
    <sheet name="CALCULOS" sheetId="14" state="hidden" r:id="rId8"/>
    <sheet name="Anexo II - Conversão Potências" sheetId="7" r:id="rId9"/>
    <sheet name="Planilha1" sheetId="16" state="hidden" r:id="rId10"/>
    <sheet name="Listas" sheetId="3" state="hidden" r:id="rId11"/>
    <sheet name="IMAGENS" sheetId="15" state="hidden" r:id="rId12"/>
  </sheets>
  <definedNames>
    <definedName name="_xlnm._FilterDatabase" localSheetId="10" hidden="1">Listas!$AH$2:$AH$13</definedName>
    <definedName name="_xlnm.Print_Area" localSheetId="5">'Anexo I - Unidades_Adicionais'!$A$1:$BL$231</definedName>
    <definedName name="_xlnm.Print_Area" localSheetId="0">'Formulário MT'!$B$1:$BK$198</definedName>
    <definedName name="Imgramais">INDEX(IMAGENS!$C$4:$C$16,MATCH(IMAGENS!$H$5,IMAGENS!$B$4:$B$16,0))</definedName>
    <definedName name="RAMAL1">CALCULOS!$G$137:$G$142</definedName>
    <definedName name="RAMAL2">CALCULOS!$H$137:$H$142</definedName>
    <definedName name="RAMAL3">CALCULOS!$I$137:$I$142</definedName>
    <definedName name="RAMAL4">CALCULOS!$J$137:$J$142</definedName>
    <definedName name="RAMAL5">CALCULOS!$K$137:$K$142</definedName>
    <definedName name="RAMALRUR">Listas!$AQ$11:$AQ$14</definedName>
    <definedName name="RAMALURB">Listas!$AQ$3:$AQ$10</definedName>
    <definedName name="SE_NOVA_300">Listas!$J$3:$J$4</definedName>
    <definedName name="SE_NOVA_MAIOR300KW">Listas!$L$3:$L$4</definedName>
    <definedName name="SECOMP">Listas!$Y$6:$Y$7</definedName>
    <definedName name="SENAB30022">Listas!$V$6:$V$9</definedName>
    <definedName name="SENOVA300">Listas!$J$3:$J$5</definedName>
    <definedName name="SENOVA300KW">Listas!$J$3:$J$5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9" i="1" l="1"/>
  <c r="Q87" i="1"/>
  <c r="AY85" i="1" l="1"/>
  <c r="AO34" i="1"/>
  <c r="E145" i="4"/>
  <c r="R219" i="8" l="1"/>
  <c r="R217" i="8"/>
  <c r="R162" i="8"/>
  <c r="R160" i="8"/>
  <c r="R105" i="8"/>
  <c r="R103" i="8"/>
  <c r="R48" i="8"/>
  <c r="R46" i="8"/>
  <c r="AY145" i="1"/>
  <c r="AO162" i="1"/>
  <c r="D85" i="14"/>
  <c r="D84" i="14"/>
  <c r="D83" i="14"/>
  <c r="D109" i="4"/>
  <c r="E109" i="4" s="1"/>
  <c r="D110" i="4"/>
  <c r="D112" i="4"/>
  <c r="D111" i="4"/>
  <c r="C87" i="4"/>
  <c r="C88" i="4"/>
  <c r="R147" i="1"/>
  <c r="C110" i="4" s="1"/>
  <c r="C61" i="1"/>
  <c r="D80" i="4"/>
  <c r="D79" i="4"/>
  <c r="C80" i="4"/>
  <c r="C79" i="4"/>
  <c r="AJ61" i="1"/>
  <c r="AW61" i="1"/>
  <c r="D78" i="4"/>
  <c r="D77" i="4"/>
  <c r="C120" i="4"/>
  <c r="BC169" i="1"/>
  <c r="C171" i="1" s="1"/>
  <c r="H142" i="14"/>
  <c r="I141" i="14"/>
  <c r="I142" i="14"/>
  <c r="J140" i="14"/>
  <c r="J141" i="14"/>
  <c r="J142" i="14"/>
  <c r="K140" i="14"/>
  <c r="K141" i="14"/>
  <c r="K142" i="14"/>
  <c r="K139" i="14"/>
  <c r="K138" i="14"/>
  <c r="J139" i="14"/>
  <c r="I140" i="14"/>
  <c r="H141" i="14"/>
  <c r="C127" i="14"/>
  <c r="E129" i="14"/>
  <c r="C125" i="14"/>
  <c r="D129" i="14"/>
  <c r="C129" i="14"/>
  <c r="C126" i="14"/>
  <c r="Z9" i="3"/>
  <c r="C1" i="4"/>
  <c r="M4" i="3"/>
  <c r="M6" i="3"/>
  <c r="M5" i="3"/>
  <c r="L6" i="3"/>
  <c r="L5" i="3"/>
  <c r="K6" i="3"/>
  <c r="K5" i="3"/>
  <c r="K4" i="3"/>
  <c r="D67" i="14"/>
  <c r="D113" i="4"/>
  <c r="C113" i="4"/>
  <c r="D119" i="4"/>
  <c r="D117" i="4"/>
  <c r="D116" i="4"/>
  <c r="E116" i="4" s="1"/>
  <c r="C116" i="4"/>
  <c r="D107" i="4"/>
  <c r="C107" i="4"/>
  <c r="D106" i="4"/>
  <c r="E106" i="4" s="1"/>
  <c r="C106" i="4"/>
  <c r="D105" i="4"/>
  <c r="D103" i="4"/>
  <c r="C103" i="4"/>
  <c r="D102" i="4"/>
  <c r="C102" i="4"/>
  <c r="D100" i="4"/>
  <c r="C100" i="4"/>
  <c r="D99" i="4"/>
  <c r="BC108" i="1"/>
  <c r="AB108" i="1"/>
  <c r="AF108" i="1" s="1"/>
  <c r="AK108" i="1" s="1"/>
  <c r="AQ108" i="1" s="1"/>
  <c r="T108" i="1"/>
  <c r="T109" i="1"/>
  <c r="AB105" i="1"/>
  <c r="AF105" i="1" s="1"/>
  <c r="AK105" i="1" s="1"/>
  <c r="AQ105" i="1" s="1"/>
  <c r="BH105" i="1" s="1"/>
  <c r="T105" i="1"/>
  <c r="BE105" i="1"/>
  <c r="BC106" i="1"/>
  <c r="BC107" i="1"/>
  <c r="T106" i="1"/>
  <c r="T107" i="1"/>
  <c r="AB107" i="1"/>
  <c r="AF107" i="1" s="1"/>
  <c r="AK107" i="1" s="1"/>
  <c r="AQ107" i="1" s="1"/>
  <c r="AB106" i="1"/>
  <c r="AF106" i="1" s="1"/>
  <c r="C87" i="1"/>
  <c r="D86" i="4"/>
  <c r="D83" i="4"/>
  <c r="D82" i="4"/>
  <c r="D81" i="4"/>
  <c r="D75" i="4"/>
  <c r="D74" i="4"/>
  <c r="D73" i="4"/>
  <c r="D72" i="4"/>
  <c r="D71" i="4"/>
  <c r="D65" i="4"/>
  <c r="E65" i="4" s="1"/>
  <c r="D66" i="4"/>
  <c r="E66" i="4" s="1"/>
  <c r="D64" i="4"/>
  <c r="E64" i="4" s="1"/>
  <c r="D62" i="4"/>
  <c r="E62" i="4" s="1"/>
  <c r="D63" i="4"/>
  <c r="E63" i="4" s="1"/>
  <c r="D61" i="4"/>
  <c r="E61" i="4" s="1"/>
  <c r="C66" i="4"/>
  <c r="C65" i="4"/>
  <c r="C64" i="4"/>
  <c r="C62" i="4"/>
  <c r="C63" i="4"/>
  <c r="C61" i="4"/>
  <c r="D60" i="4"/>
  <c r="C60" i="4"/>
  <c r="D59" i="4"/>
  <c r="E59" i="4" s="1"/>
  <c r="C59" i="4"/>
  <c r="B59" i="4"/>
  <c r="B51" i="4"/>
  <c r="B46" i="4"/>
  <c r="D56" i="4"/>
  <c r="C56" i="4"/>
  <c r="D52" i="4"/>
  <c r="C3" i="4"/>
  <c r="D80" i="14"/>
  <c r="D48" i="4"/>
  <c r="AO230" i="8"/>
  <c r="AO228" i="8"/>
  <c r="AW225" i="8"/>
  <c r="AF225" i="8"/>
  <c r="R225" i="8"/>
  <c r="C225" i="8" a="1"/>
  <c r="C225" i="8" s="1"/>
  <c r="AW224" i="8"/>
  <c r="AF224" i="8"/>
  <c r="R224" i="8"/>
  <c r="C224" i="8" a="1"/>
  <c r="C224" i="8" s="1"/>
  <c r="AW223" i="8"/>
  <c r="AF223" i="8"/>
  <c r="R223" i="8"/>
  <c r="C223" i="8" a="1"/>
  <c r="C223" i="8" s="1"/>
  <c r="AW222" i="8"/>
  <c r="AF222" i="8"/>
  <c r="R222" i="8"/>
  <c r="C222" i="8" a="1"/>
  <c r="C222" i="8" s="1"/>
  <c r="AY209" i="8"/>
  <c r="AM209" i="8"/>
  <c r="M188" i="8"/>
  <c r="AO208" i="8" s="1"/>
  <c r="H188" i="8"/>
  <c r="AE208" i="8" s="1"/>
  <c r="AO173" i="8"/>
  <c r="AO171" i="8"/>
  <c r="AW168" i="8"/>
  <c r="AF168" i="8"/>
  <c r="R168" i="8"/>
  <c r="C168" i="8" a="1"/>
  <c r="C168" i="8" s="1"/>
  <c r="AW167" i="8"/>
  <c r="AF167" i="8"/>
  <c r="R167" i="8"/>
  <c r="C167" i="8" a="1"/>
  <c r="C167" i="8" s="1"/>
  <c r="AW166" i="8"/>
  <c r="AF166" i="8"/>
  <c r="R166" i="8"/>
  <c r="C166" i="8" a="1"/>
  <c r="C166" i="8" s="1"/>
  <c r="AW165" i="8"/>
  <c r="AF165" i="8"/>
  <c r="R165" i="8"/>
  <c r="C165" i="8" a="1"/>
  <c r="C165" i="8" s="1"/>
  <c r="AY152" i="8"/>
  <c r="AM152" i="8"/>
  <c r="M131" i="8"/>
  <c r="AG148" i="8" s="1"/>
  <c r="H131" i="8"/>
  <c r="AG147" i="8" s="1"/>
  <c r="AO116" i="8"/>
  <c r="AO114" i="8"/>
  <c r="AW111" i="8"/>
  <c r="AF111" i="8"/>
  <c r="R111" i="8"/>
  <c r="C111" i="8" a="1"/>
  <c r="C111" i="8" s="1"/>
  <c r="AW110" i="8"/>
  <c r="AF110" i="8"/>
  <c r="R110" i="8"/>
  <c r="C110" i="8" a="1"/>
  <c r="C110" i="8" s="1"/>
  <c r="AW109" i="8"/>
  <c r="AF109" i="8"/>
  <c r="R109" i="8"/>
  <c r="C109" i="8" a="1"/>
  <c r="C109" i="8" s="1"/>
  <c r="AW108" i="8"/>
  <c r="AF108" i="8"/>
  <c r="R108" i="8"/>
  <c r="C108" i="8" a="1"/>
  <c r="C108" i="8" s="1"/>
  <c r="AY95" i="8"/>
  <c r="AM95" i="8"/>
  <c r="M74" i="8"/>
  <c r="AG91" i="8" s="1"/>
  <c r="H74" i="8"/>
  <c r="AG90" i="8" s="1"/>
  <c r="AM38" i="8"/>
  <c r="AY38" i="8"/>
  <c r="G5" i="8"/>
  <c r="G62" i="8" s="1"/>
  <c r="G119" i="8" s="1"/>
  <c r="G176" i="8" s="1"/>
  <c r="C54" i="8" a="1"/>
  <c r="C54" i="8" s="1"/>
  <c r="C53" i="8" a="1"/>
  <c r="C53" i="8" s="1"/>
  <c r="C52" i="8" a="1"/>
  <c r="C52" i="8" s="1"/>
  <c r="C51" i="8" a="1"/>
  <c r="C51" i="8" s="1"/>
  <c r="M17" i="8"/>
  <c r="AO37" i="8" s="1"/>
  <c r="H17" i="8"/>
  <c r="AE37" i="8" s="1"/>
  <c r="M101" i="1"/>
  <c r="AG132" i="1" s="1"/>
  <c r="AO59" i="8"/>
  <c r="AO57" i="8"/>
  <c r="AW54" i="8"/>
  <c r="AF54" i="8"/>
  <c r="R54" i="8"/>
  <c r="AW53" i="8"/>
  <c r="AF53" i="8"/>
  <c r="R53" i="8"/>
  <c r="AW52" i="8"/>
  <c r="AF52" i="8"/>
  <c r="R52" i="8"/>
  <c r="AW51" i="8"/>
  <c r="AF51" i="8"/>
  <c r="R51" i="8"/>
  <c r="D101" i="14"/>
  <c r="D115" i="14"/>
  <c r="D111" i="14"/>
  <c r="D109" i="14"/>
  <c r="AS39" i="17"/>
  <c r="AS35" i="17"/>
  <c r="AS31" i="17"/>
  <c r="AS27" i="17"/>
  <c r="AS23" i="17"/>
  <c r="AS19" i="17"/>
  <c r="AS15" i="17"/>
  <c r="AS11" i="17"/>
  <c r="AS6" i="17"/>
  <c r="AF5" i="17"/>
  <c r="AF10" i="17" s="1"/>
  <c r="AF14" i="17" s="1"/>
  <c r="AF18" i="17" s="1"/>
  <c r="AF22" i="17" s="1"/>
  <c r="AF26" i="17" s="1"/>
  <c r="AF30" i="17" s="1"/>
  <c r="AF34" i="17" s="1"/>
  <c r="AF38" i="17" s="1"/>
  <c r="C130" i="14" l="1" a="1"/>
  <c r="C130" i="14" s="1"/>
  <c r="AK147" i="1"/>
  <c r="AK145" i="1"/>
  <c r="E110" i="4"/>
  <c r="R145" i="1"/>
  <c r="C109" i="4" s="1"/>
  <c r="D89" i="14"/>
  <c r="D88" i="14"/>
  <c r="D87" i="14"/>
  <c r="D86" i="14"/>
  <c r="E60" i="4"/>
  <c r="H5" i="15"/>
  <c r="D120" i="4"/>
  <c r="E120" i="4" s="1"/>
  <c r="BF108" i="1"/>
  <c r="E117" i="4"/>
  <c r="AK106" i="1"/>
  <c r="AQ106" i="1" s="1"/>
  <c r="BF106" i="1" s="1"/>
  <c r="BF107" i="1"/>
  <c r="E48" i="4"/>
  <c r="AG204" i="8"/>
  <c r="C213" i="8" s="1"/>
  <c r="AG205" i="8"/>
  <c r="AE151" i="8"/>
  <c r="C156" i="8" s="1"/>
  <c r="AO151" i="8"/>
  <c r="AO94" i="8"/>
  <c r="AE94" i="8"/>
  <c r="C99" i="8" s="1"/>
  <c r="AG33" i="8"/>
  <c r="C42" i="8" s="1"/>
  <c r="AG34" i="8"/>
  <c r="D105" i="14"/>
  <c r="AS3" i="3" s="1" a="1"/>
  <c r="AS3" i="3" s="1"/>
  <c r="D103" i="14"/>
  <c r="C78" i="1" l="1"/>
  <c r="AO160" i="1"/>
  <c r="C119" i="4" s="1"/>
  <c r="AO158" i="1"/>
  <c r="C117" i="4" s="1"/>
  <c r="D75" i="14"/>
  <c r="D76" i="14" l="1"/>
  <c r="D63" i="14"/>
  <c r="F111" i="4" s="1"/>
  <c r="D74" i="14"/>
  <c r="E74" i="14" s="1"/>
  <c r="D77" i="14"/>
  <c r="D73" i="14"/>
  <c r="D72" i="14"/>
  <c r="D71" i="14"/>
  <c r="D70" i="14"/>
  <c r="D69" i="14"/>
  <c r="E69" i="14" s="1"/>
  <c r="D68" i="14"/>
  <c r="D66" i="14"/>
  <c r="D65" i="14"/>
  <c r="D64" i="14"/>
  <c r="D62" i="14"/>
  <c r="A12" i="13"/>
  <c r="A14" i="13" s="1"/>
  <c r="A16" i="13" s="1"/>
  <c r="B6" i="13" s="1"/>
  <c r="D81" i="14" l="1"/>
  <c r="E112" i="4"/>
  <c r="D78" i="14"/>
  <c r="AP13" i="13"/>
  <c r="AM5" i="13" s="1"/>
  <c r="AO13" i="13"/>
  <c r="AL5" i="13" s="1"/>
  <c r="AM136" i="1"/>
  <c r="F7" i="14"/>
  <c r="F2" i="14"/>
  <c r="F15" i="14"/>
  <c r="AO135" i="1" l="1"/>
  <c r="F9" i="14" l="1"/>
  <c r="C32" i="14" s="1"/>
  <c r="F8" i="14"/>
  <c r="F4" i="14"/>
  <c r="F3" i="14"/>
  <c r="F10" i="14" s="1"/>
  <c r="B3" i="14"/>
  <c r="F20" i="14"/>
  <c r="F21" i="14"/>
  <c r="F22" i="14"/>
  <c r="F23" i="14"/>
  <c r="F24" i="14"/>
  <c r="F25" i="14"/>
  <c r="F19" i="14"/>
  <c r="D20" i="14"/>
  <c r="D21" i="14"/>
  <c r="D22" i="14"/>
  <c r="D23" i="14"/>
  <c r="D24" i="14"/>
  <c r="D25" i="14"/>
  <c r="D19" i="14"/>
  <c r="C20" i="14"/>
  <c r="C21" i="14"/>
  <c r="C22" i="14"/>
  <c r="C23" i="14"/>
  <c r="C24" i="14"/>
  <c r="C25" i="14"/>
  <c r="C19" i="14"/>
  <c r="R150" i="1"/>
  <c r="C153" i="1" a="1"/>
  <c r="C153" i="1" s="1"/>
  <c r="C152" i="1" a="1"/>
  <c r="C152" i="1" s="1"/>
  <c r="C151" i="1" a="1"/>
  <c r="C151" i="1" s="1"/>
  <c r="C150" i="1" a="1"/>
  <c r="C150" i="1" s="1"/>
  <c r="C112" i="4"/>
  <c r="C111" i="4"/>
  <c r="AU5" i="3"/>
  <c r="AU4" i="3"/>
  <c r="AU3" i="3"/>
  <c r="F5" i="14" l="1"/>
  <c r="F6" i="14" s="1"/>
  <c r="C51" i="14" s="1"/>
  <c r="F11" i="14"/>
  <c r="C35" i="14" s="1"/>
  <c r="H21" i="14"/>
  <c r="I21" i="14" s="1"/>
  <c r="J21" i="14" s="1"/>
  <c r="H25" i="14"/>
  <c r="H24" i="14"/>
  <c r="L24" i="14" s="1"/>
  <c r="H22" i="14"/>
  <c r="I22" i="14" s="1"/>
  <c r="J22" i="14" s="1"/>
  <c r="H20" i="14"/>
  <c r="H19" i="14"/>
  <c r="H23" i="14"/>
  <c r="I23" i="14" s="1"/>
  <c r="J23" i="14" s="1"/>
  <c r="D26" i="14"/>
  <c r="C26" i="14"/>
  <c r="C36" i="14" l="1"/>
  <c r="C39" i="14" s="1"/>
  <c r="F32" i="14" s="1"/>
  <c r="K21" i="14"/>
  <c r="K24" i="14"/>
  <c r="L21" i="14"/>
  <c r="I24" i="14"/>
  <c r="J24" i="14" s="1"/>
  <c r="L23" i="14"/>
  <c r="K19" i="14"/>
  <c r="I20" i="14"/>
  <c r="J20" i="14" s="1"/>
  <c r="L20" i="14"/>
  <c r="K23" i="14"/>
  <c r="K20" i="14"/>
  <c r="I25" i="14"/>
  <c r="J25" i="14" s="1"/>
  <c r="K25" i="14"/>
  <c r="K22" i="14"/>
  <c r="L25" i="14"/>
  <c r="L22" i="14"/>
  <c r="L19" i="14"/>
  <c r="I19" i="14"/>
  <c r="J19" i="14" s="1"/>
  <c r="L26" i="14" l="1"/>
  <c r="M24" i="14" s="1"/>
  <c r="M21" i="14"/>
  <c r="M20" i="14" l="1"/>
  <c r="M22" i="14"/>
  <c r="M25" i="14"/>
  <c r="M23" i="14"/>
  <c r="M19" i="14"/>
  <c r="K26" i="14" l="1"/>
  <c r="F12" i="14" s="1"/>
  <c r="C50" i="14" s="1"/>
  <c r="C54" i="14" s="1"/>
  <c r="F47" i="14" s="1"/>
  <c r="I57" i="14" s="1"/>
  <c r="BH155" i="1" s="1"/>
  <c r="F14" i="14" l="1"/>
  <c r="H101" i="1"/>
  <c r="D113" i="14" l="1"/>
  <c r="D96" i="4"/>
  <c r="E96" i="4" s="1"/>
  <c r="AG131" i="1"/>
  <c r="AN3" i="3" s="1" a="1"/>
  <c r="AN3" i="3" s="1"/>
  <c r="AE135" i="1"/>
  <c r="AL3" i="3" s="1" a="1"/>
  <c r="AL3" i="3" s="1"/>
  <c r="C74" i="1"/>
  <c r="C64" i="1"/>
  <c r="AI53" i="13"/>
  <c r="AG53" i="13"/>
  <c r="AF53" i="13"/>
  <c r="E53" i="13" s="1"/>
  <c r="AE53" i="13"/>
  <c r="AD53" i="13"/>
  <c r="T53" i="13"/>
  <c r="S53" i="13"/>
  <c r="R53" i="13"/>
  <c r="Q53" i="13"/>
  <c r="P53" i="13"/>
  <c r="O53" i="13"/>
  <c r="N53" i="13"/>
  <c r="M53" i="13"/>
  <c r="I53" i="13"/>
  <c r="F53" i="13"/>
  <c r="AI52" i="13"/>
  <c r="AF52" i="13"/>
  <c r="E52" i="13" s="1"/>
  <c r="AE52" i="13"/>
  <c r="AD52" i="13"/>
  <c r="T52" i="13"/>
  <c r="S52" i="13"/>
  <c r="R52" i="13"/>
  <c r="Q52" i="13"/>
  <c r="P52" i="13"/>
  <c r="O52" i="13"/>
  <c r="N52" i="13"/>
  <c r="M52" i="13"/>
  <c r="I52" i="13"/>
  <c r="AI51" i="13"/>
  <c r="AF51" i="13"/>
  <c r="AE51" i="13"/>
  <c r="AD51" i="13"/>
  <c r="T51" i="13"/>
  <c r="S51" i="13"/>
  <c r="R51" i="13"/>
  <c r="Q51" i="13"/>
  <c r="P51" i="13"/>
  <c r="O51" i="13"/>
  <c r="N51" i="13"/>
  <c r="M51" i="13"/>
  <c r="I51" i="13"/>
  <c r="AJ50" i="13"/>
  <c r="AI50" i="13"/>
  <c r="AK50" i="13" s="1"/>
  <c r="K50" i="13" s="1"/>
  <c r="AG50" i="13"/>
  <c r="AF50" i="13"/>
  <c r="E50" i="13" s="1"/>
  <c r="AE50" i="13"/>
  <c r="AD50" i="13"/>
  <c r="T50" i="13"/>
  <c r="S50" i="13"/>
  <c r="R50" i="13"/>
  <c r="Q50" i="13"/>
  <c r="P50" i="13"/>
  <c r="O50" i="13"/>
  <c r="N50" i="13"/>
  <c r="M50" i="13"/>
  <c r="J50" i="13"/>
  <c r="I50" i="13"/>
  <c r="AI49" i="13"/>
  <c r="AH49" i="13"/>
  <c r="G49" i="13" s="1"/>
  <c r="AG49" i="13"/>
  <c r="F49" i="13" s="1"/>
  <c r="AF49" i="13"/>
  <c r="AE49" i="13"/>
  <c r="AD49" i="13"/>
  <c r="Z49" i="13"/>
  <c r="T49" i="13"/>
  <c r="S49" i="13"/>
  <c r="R49" i="13"/>
  <c r="Q49" i="13"/>
  <c r="P49" i="13"/>
  <c r="O49" i="13"/>
  <c r="N49" i="13"/>
  <c r="M49" i="13"/>
  <c r="I49" i="13"/>
  <c r="E49" i="13"/>
  <c r="H49" i="13" s="1"/>
  <c r="Y49" i="13" s="1"/>
  <c r="AI48" i="13"/>
  <c r="AH48" i="13"/>
  <c r="G48" i="13" s="1"/>
  <c r="AG48" i="13"/>
  <c r="AF48" i="13"/>
  <c r="AE48" i="13"/>
  <c r="AD48" i="13"/>
  <c r="T48" i="13"/>
  <c r="S48" i="13"/>
  <c r="R48" i="13"/>
  <c r="Q48" i="13"/>
  <c r="P48" i="13"/>
  <c r="O48" i="13"/>
  <c r="W48" i="13" s="1"/>
  <c r="X48" i="13" s="1"/>
  <c r="N48" i="13"/>
  <c r="M48" i="13"/>
  <c r="F48" i="13"/>
  <c r="E48" i="13"/>
  <c r="H48" i="13" s="1"/>
  <c r="AI47" i="13"/>
  <c r="AF47" i="13"/>
  <c r="AG47" i="13" s="1"/>
  <c r="AE47" i="13"/>
  <c r="AD47" i="13"/>
  <c r="T47" i="13"/>
  <c r="S47" i="13"/>
  <c r="R47" i="13"/>
  <c r="Q47" i="13"/>
  <c r="P47" i="13"/>
  <c r="O47" i="13"/>
  <c r="N47" i="13"/>
  <c r="M47" i="13"/>
  <c r="E47" i="13"/>
  <c r="AJ46" i="13"/>
  <c r="J46" i="13" s="1"/>
  <c r="AI46" i="13"/>
  <c r="I46" i="13" s="1"/>
  <c r="AF46" i="13"/>
  <c r="AE46" i="13"/>
  <c r="AD46" i="13"/>
  <c r="T46" i="13"/>
  <c r="S46" i="13"/>
  <c r="R46" i="13"/>
  <c r="Q46" i="13"/>
  <c r="P46" i="13"/>
  <c r="O46" i="13"/>
  <c r="N46" i="13"/>
  <c r="M46" i="13"/>
  <c r="E46" i="13"/>
  <c r="AK45" i="13"/>
  <c r="K45" i="13" s="1"/>
  <c r="AJ45" i="13"/>
  <c r="J45" i="13" s="1"/>
  <c r="AI45" i="13"/>
  <c r="AG45" i="13"/>
  <c r="AF45" i="13"/>
  <c r="AH45" i="13" s="1"/>
  <c r="G45" i="13" s="1"/>
  <c r="AE45" i="13"/>
  <c r="AD45" i="13"/>
  <c r="T45" i="13"/>
  <c r="S45" i="13"/>
  <c r="R45" i="13"/>
  <c r="Q45" i="13"/>
  <c r="P45" i="13"/>
  <c r="O45" i="13"/>
  <c r="N45" i="13"/>
  <c r="M45" i="13"/>
  <c r="I45" i="13"/>
  <c r="L45" i="13" s="1"/>
  <c r="F45" i="13"/>
  <c r="E45" i="13"/>
  <c r="AI44" i="13"/>
  <c r="AJ44" i="13" s="1"/>
  <c r="AF44" i="13"/>
  <c r="E44" i="13" s="1"/>
  <c r="AE44" i="13"/>
  <c r="AD44" i="13"/>
  <c r="T44" i="13"/>
  <c r="S44" i="13"/>
  <c r="R44" i="13"/>
  <c r="Q44" i="13"/>
  <c r="P44" i="13"/>
  <c r="O44" i="13"/>
  <c r="N44" i="13"/>
  <c r="M44" i="13"/>
  <c r="I44" i="13"/>
  <c r="AI43" i="13"/>
  <c r="AF43" i="13"/>
  <c r="AE43" i="13"/>
  <c r="AD43" i="13"/>
  <c r="T43" i="13"/>
  <c r="S43" i="13"/>
  <c r="R43" i="13"/>
  <c r="Q43" i="13"/>
  <c r="P43" i="13"/>
  <c r="O43" i="13"/>
  <c r="N43" i="13"/>
  <c r="M43" i="13"/>
  <c r="I43" i="13"/>
  <c r="AJ42" i="13"/>
  <c r="AI42" i="13"/>
  <c r="AK42" i="13" s="1"/>
  <c r="K42" i="13" s="1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J42" i="13"/>
  <c r="I42" i="13"/>
  <c r="L42" i="13" s="1"/>
  <c r="AI41" i="13"/>
  <c r="AG41" i="13"/>
  <c r="AF41" i="13"/>
  <c r="AE41" i="13"/>
  <c r="AD41" i="13"/>
  <c r="T41" i="13"/>
  <c r="S41" i="13"/>
  <c r="R41" i="13"/>
  <c r="Q41" i="13"/>
  <c r="P41" i="13"/>
  <c r="O41" i="13"/>
  <c r="N41" i="13"/>
  <c r="M41" i="13"/>
  <c r="I41" i="13"/>
  <c r="E41" i="13"/>
  <c r="AI40" i="13"/>
  <c r="AH40" i="13"/>
  <c r="G40" i="13" s="1"/>
  <c r="AG40" i="13"/>
  <c r="AF40" i="13"/>
  <c r="AE40" i="13"/>
  <c r="AD40" i="13"/>
  <c r="T40" i="13"/>
  <c r="S40" i="13"/>
  <c r="R40" i="13"/>
  <c r="Q40" i="13"/>
  <c r="P40" i="13"/>
  <c r="O40" i="13"/>
  <c r="N40" i="13"/>
  <c r="M40" i="13"/>
  <c r="F40" i="13"/>
  <c r="E40" i="13"/>
  <c r="AI39" i="13"/>
  <c r="AH39" i="13"/>
  <c r="AG39" i="13"/>
  <c r="AF39" i="13"/>
  <c r="AE39" i="13"/>
  <c r="AD39" i="13"/>
  <c r="T39" i="13"/>
  <c r="S39" i="13"/>
  <c r="R39" i="13"/>
  <c r="Q39" i="13"/>
  <c r="P39" i="13"/>
  <c r="O39" i="13"/>
  <c r="N39" i="13"/>
  <c r="M39" i="13"/>
  <c r="G39" i="13"/>
  <c r="F39" i="13"/>
  <c r="E39" i="13"/>
  <c r="H39" i="13" s="1"/>
  <c r="AB39" i="13" s="1"/>
  <c r="AJ38" i="13"/>
  <c r="J38" i="13" s="1"/>
  <c r="AI38" i="13"/>
  <c r="I38" i="13" s="1"/>
  <c r="AF38" i="13"/>
  <c r="AE38" i="13"/>
  <c r="AD38" i="13"/>
  <c r="T38" i="13"/>
  <c r="S38" i="13"/>
  <c r="R38" i="13"/>
  <c r="Q38" i="13"/>
  <c r="P38" i="13"/>
  <c r="O38" i="13"/>
  <c r="N38" i="13"/>
  <c r="M38" i="13"/>
  <c r="E38" i="13"/>
  <c r="AK37" i="13"/>
  <c r="K37" i="13" s="1"/>
  <c r="AJ37" i="13"/>
  <c r="J37" i="13" s="1"/>
  <c r="AI37" i="13"/>
  <c r="AG37" i="13"/>
  <c r="AF37" i="13"/>
  <c r="AH37" i="13" s="1"/>
  <c r="G37" i="13" s="1"/>
  <c r="AE37" i="13"/>
  <c r="AD37" i="13"/>
  <c r="V37" i="13"/>
  <c r="T37" i="13"/>
  <c r="S37" i="13"/>
  <c r="R37" i="13"/>
  <c r="Q37" i="13"/>
  <c r="P37" i="13"/>
  <c r="O37" i="13"/>
  <c r="N37" i="13"/>
  <c r="M37" i="13"/>
  <c r="I37" i="13"/>
  <c r="L37" i="13" s="1"/>
  <c r="F37" i="13"/>
  <c r="E37" i="13"/>
  <c r="H37" i="13" s="1"/>
  <c r="U37" i="13" s="1"/>
  <c r="AI36" i="13"/>
  <c r="AJ36" i="13" s="1"/>
  <c r="AF36" i="13"/>
  <c r="E36" i="13" s="1"/>
  <c r="AE36" i="13"/>
  <c r="AD36" i="13"/>
  <c r="T36" i="13"/>
  <c r="S36" i="13"/>
  <c r="R36" i="13"/>
  <c r="Q36" i="13"/>
  <c r="P36" i="13"/>
  <c r="O36" i="13"/>
  <c r="N36" i="13"/>
  <c r="M36" i="13"/>
  <c r="I36" i="13"/>
  <c r="AI35" i="13"/>
  <c r="AF35" i="13"/>
  <c r="AE35" i="13"/>
  <c r="AD35" i="13"/>
  <c r="T35" i="13"/>
  <c r="S35" i="13"/>
  <c r="R35" i="13"/>
  <c r="Q35" i="13"/>
  <c r="P35" i="13"/>
  <c r="O35" i="13"/>
  <c r="N35" i="13"/>
  <c r="M35" i="13"/>
  <c r="I35" i="13"/>
  <c r="AJ34" i="13"/>
  <c r="AI34" i="13"/>
  <c r="AK34" i="13" s="1"/>
  <c r="K34" i="13" s="1"/>
  <c r="AF34" i="13"/>
  <c r="AE34" i="13"/>
  <c r="AD34" i="13"/>
  <c r="T34" i="13"/>
  <c r="S34" i="13"/>
  <c r="R34" i="13"/>
  <c r="Q34" i="13"/>
  <c r="P34" i="13"/>
  <c r="O34" i="13"/>
  <c r="N34" i="13"/>
  <c r="M34" i="13"/>
  <c r="J34" i="13"/>
  <c r="I34" i="13"/>
  <c r="AI33" i="13"/>
  <c r="AG33" i="13"/>
  <c r="F33" i="13" s="1"/>
  <c r="AF33" i="13"/>
  <c r="AE33" i="13"/>
  <c r="AD33" i="13"/>
  <c r="T33" i="13"/>
  <c r="S33" i="13"/>
  <c r="R33" i="13"/>
  <c r="Q33" i="13"/>
  <c r="P33" i="13"/>
  <c r="O33" i="13"/>
  <c r="N33" i="13"/>
  <c r="M33" i="13"/>
  <c r="I33" i="13"/>
  <c r="E33" i="13"/>
  <c r="AI32" i="13"/>
  <c r="AH32" i="13"/>
  <c r="G32" i="13" s="1"/>
  <c r="AG32" i="13"/>
  <c r="AF32" i="13"/>
  <c r="AE32" i="13"/>
  <c r="AD32" i="13"/>
  <c r="T32" i="13"/>
  <c r="S32" i="13"/>
  <c r="R32" i="13"/>
  <c r="Q32" i="13"/>
  <c r="P32" i="13"/>
  <c r="O32" i="13"/>
  <c r="W32" i="13" s="1"/>
  <c r="X32" i="13" s="1"/>
  <c r="N32" i="13"/>
  <c r="M32" i="13"/>
  <c r="F32" i="13"/>
  <c r="E32" i="13"/>
  <c r="H32" i="13" s="1"/>
  <c r="AI31" i="13"/>
  <c r="AF31" i="13"/>
  <c r="AG31" i="13" s="1"/>
  <c r="AE31" i="13"/>
  <c r="AD31" i="13"/>
  <c r="T31" i="13"/>
  <c r="S31" i="13"/>
  <c r="R31" i="13"/>
  <c r="Q31" i="13"/>
  <c r="P31" i="13"/>
  <c r="O31" i="13"/>
  <c r="N31" i="13"/>
  <c r="M31" i="13"/>
  <c r="E31" i="13"/>
  <c r="AJ30" i="13"/>
  <c r="J30" i="13" s="1"/>
  <c r="AI30" i="13"/>
  <c r="AF30" i="13"/>
  <c r="AE30" i="13"/>
  <c r="AD30" i="13"/>
  <c r="T30" i="13"/>
  <c r="S30" i="13"/>
  <c r="R30" i="13"/>
  <c r="Q30" i="13"/>
  <c r="P30" i="13"/>
  <c r="O30" i="13"/>
  <c r="N30" i="13"/>
  <c r="M30" i="13"/>
  <c r="I30" i="13"/>
  <c r="E30" i="13"/>
  <c r="AK29" i="13"/>
  <c r="K29" i="13" s="1"/>
  <c r="AJ29" i="13"/>
  <c r="AI29" i="13"/>
  <c r="AG29" i="13"/>
  <c r="AH29" i="13" s="1"/>
  <c r="G29" i="13" s="1"/>
  <c r="AF29" i="13"/>
  <c r="AE29" i="13"/>
  <c r="AD29" i="13"/>
  <c r="T29" i="13"/>
  <c r="S29" i="13"/>
  <c r="R29" i="13"/>
  <c r="Q29" i="13"/>
  <c r="P29" i="13"/>
  <c r="O29" i="13"/>
  <c r="N29" i="13"/>
  <c r="M29" i="13"/>
  <c r="J29" i="13"/>
  <c r="I29" i="13"/>
  <c r="L29" i="13" s="1"/>
  <c r="F29" i="13"/>
  <c r="E29" i="13"/>
  <c r="AI28" i="13"/>
  <c r="AJ28" i="13" s="1"/>
  <c r="AK28" i="13" s="1"/>
  <c r="K28" i="13" s="1"/>
  <c r="AF28" i="13"/>
  <c r="E28" i="13" s="1"/>
  <c r="AE28" i="13"/>
  <c r="AD28" i="13"/>
  <c r="T28" i="13"/>
  <c r="S28" i="13"/>
  <c r="R28" i="13"/>
  <c r="Q28" i="13"/>
  <c r="P28" i="13"/>
  <c r="O28" i="13"/>
  <c r="N28" i="13"/>
  <c r="M28" i="13"/>
  <c r="I28" i="13"/>
  <c r="AI27" i="13"/>
  <c r="AF27" i="13"/>
  <c r="AE27" i="13"/>
  <c r="AD27" i="13"/>
  <c r="T27" i="13"/>
  <c r="S27" i="13"/>
  <c r="R27" i="13"/>
  <c r="Q27" i="13"/>
  <c r="P27" i="13"/>
  <c r="O27" i="13"/>
  <c r="N27" i="13"/>
  <c r="M27" i="13"/>
  <c r="I27" i="13"/>
  <c r="AJ26" i="13"/>
  <c r="AI26" i="13"/>
  <c r="AK26" i="13" s="1"/>
  <c r="K26" i="13" s="1"/>
  <c r="AG26" i="13"/>
  <c r="AF26" i="13"/>
  <c r="E26" i="13" s="1"/>
  <c r="AE26" i="13"/>
  <c r="AD26" i="13"/>
  <c r="T26" i="13"/>
  <c r="S26" i="13"/>
  <c r="R26" i="13"/>
  <c r="Q26" i="13"/>
  <c r="P26" i="13"/>
  <c r="O26" i="13"/>
  <c r="N26" i="13"/>
  <c r="M26" i="13"/>
  <c r="L26" i="13"/>
  <c r="J26" i="13"/>
  <c r="I26" i="13"/>
  <c r="AK25" i="13"/>
  <c r="AI25" i="13"/>
  <c r="AJ25" i="13" s="1"/>
  <c r="AH25" i="13"/>
  <c r="G25" i="13" s="1"/>
  <c r="AG25" i="13"/>
  <c r="F25" i="13" s="1"/>
  <c r="AF25" i="13"/>
  <c r="AE25" i="13"/>
  <c r="AD25" i="13"/>
  <c r="T25" i="13"/>
  <c r="S25" i="13"/>
  <c r="R25" i="13"/>
  <c r="Q25" i="13"/>
  <c r="P25" i="13"/>
  <c r="O25" i="13"/>
  <c r="N25" i="13"/>
  <c r="M25" i="13"/>
  <c r="K25" i="13"/>
  <c r="J25" i="13"/>
  <c r="I25" i="13"/>
  <c r="L25" i="13" s="1"/>
  <c r="E25" i="13"/>
  <c r="AJ24" i="13"/>
  <c r="J24" i="13" s="1"/>
  <c r="AI24" i="13"/>
  <c r="AH24" i="13"/>
  <c r="G24" i="13" s="1"/>
  <c r="AG24" i="13"/>
  <c r="AF24" i="13"/>
  <c r="AE24" i="13"/>
  <c r="AD24" i="13"/>
  <c r="T24" i="13"/>
  <c r="S24" i="13"/>
  <c r="R24" i="13"/>
  <c r="Q24" i="13"/>
  <c r="P24" i="13"/>
  <c r="O24" i="13"/>
  <c r="N24" i="13"/>
  <c r="M24" i="13"/>
  <c r="F24" i="13"/>
  <c r="H24" i="13" s="1"/>
  <c r="E24" i="13"/>
  <c r="AI23" i="13"/>
  <c r="I23" i="13" s="1"/>
  <c r="AF23" i="13"/>
  <c r="AG23" i="13" s="1"/>
  <c r="AE23" i="13"/>
  <c r="AD23" i="13"/>
  <c r="T23" i="13"/>
  <c r="S23" i="13"/>
  <c r="R23" i="13"/>
  <c r="Q23" i="13"/>
  <c r="P23" i="13"/>
  <c r="O23" i="13"/>
  <c r="N23" i="13"/>
  <c r="M23" i="13"/>
  <c r="E23" i="13"/>
  <c r="AJ22" i="13"/>
  <c r="J22" i="13" s="1"/>
  <c r="AI22" i="13"/>
  <c r="AF22" i="13"/>
  <c r="AE22" i="13"/>
  <c r="AD22" i="13"/>
  <c r="T22" i="13"/>
  <c r="S22" i="13"/>
  <c r="R22" i="13"/>
  <c r="Q22" i="13"/>
  <c r="P22" i="13"/>
  <c r="O22" i="13"/>
  <c r="N22" i="13"/>
  <c r="M22" i="13"/>
  <c r="I22" i="13"/>
  <c r="E22" i="13"/>
  <c r="AK21" i="13"/>
  <c r="K21" i="13" s="1"/>
  <c r="AJ21" i="13"/>
  <c r="AI21" i="13"/>
  <c r="AG21" i="13"/>
  <c r="AH21" i="13" s="1"/>
  <c r="AF21" i="13"/>
  <c r="AE21" i="13"/>
  <c r="AD21" i="13"/>
  <c r="T21" i="13"/>
  <c r="S21" i="13"/>
  <c r="R21" i="13"/>
  <c r="Q21" i="13"/>
  <c r="P21" i="13"/>
  <c r="O21" i="13"/>
  <c r="N21" i="13"/>
  <c r="M21" i="13"/>
  <c r="J21" i="13"/>
  <c r="I21" i="13"/>
  <c r="L21" i="13" s="1"/>
  <c r="G21" i="13"/>
  <c r="E21" i="13"/>
  <c r="AJ20" i="13"/>
  <c r="AI20" i="13"/>
  <c r="AK20" i="13" s="1"/>
  <c r="K20" i="13" s="1"/>
  <c r="AF20" i="13"/>
  <c r="AE20" i="13"/>
  <c r="AD20" i="13"/>
  <c r="T20" i="13"/>
  <c r="S20" i="13"/>
  <c r="R20" i="13"/>
  <c r="Q20" i="13"/>
  <c r="P20" i="13"/>
  <c r="O20" i="13"/>
  <c r="N20" i="13"/>
  <c r="M20" i="13"/>
  <c r="J20" i="13"/>
  <c r="L20" i="13" s="1"/>
  <c r="I20" i="13"/>
  <c r="AI19" i="13"/>
  <c r="AG19" i="13"/>
  <c r="AF19" i="13"/>
  <c r="AE19" i="13"/>
  <c r="AD19" i="13"/>
  <c r="T19" i="13"/>
  <c r="S19" i="13"/>
  <c r="R19" i="13"/>
  <c r="Q19" i="13"/>
  <c r="P19" i="13"/>
  <c r="O19" i="13"/>
  <c r="N19" i="13"/>
  <c r="M19" i="13"/>
  <c r="I19" i="13"/>
  <c r="E19" i="13"/>
  <c r="AJ18" i="13"/>
  <c r="J18" i="13" s="1"/>
  <c r="AI18" i="13"/>
  <c r="I18" i="13" s="1"/>
  <c r="AF18" i="13"/>
  <c r="AG18" i="13" s="1"/>
  <c r="F18" i="13" s="1"/>
  <c r="AE18" i="13"/>
  <c r="AD18" i="13"/>
  <c r="T18" i="13"/>
  <c r="S18" i="13"/>
  <c r="R18" i="13"/>
  <c r="Q18" i="13"/>
  <c r="P18" i="13"/>
  <c r="O18" i="13"/>
  <c r="N18" i="13"/>
  <c r="M18" i="13"/>
  <c r="AI17" i="13"/>
  <c r="AG17" i="13"/>
  <c r="AH17" i="13" s="1"/>
  <c r="G17" i="13" s="1"/>
  <c r="AF17" i="13"/>
  <c r="AE17" i="13"/>
  <c r="AD17" i="13"/>
  <c r="T17" i="13"/>
  <c r="S17" i="13"/>
  <c r="R17" i="13"/>
  <c r="Q17" i="13"/>
  <c r="P17" i="13"/>
  <c r="O17" i="13"/>
  <c r="N17" i="13"/>
  <c r="M17" i="13"/>
  <c r="E17" i="13"/>
  <c r="AJ16" i="13"/>
  <c r="AI16" i="13"/>
  <c r="AF16" i="13"/>
  <c r="AG16" i="13" s="1"/>
  <c r="AH16" i="13" s="1"/>
  <c r="G16" i="13" s="1"/>
  <c r="AE16" i="13"/>
  <c r="AD16" i="13"/>
  <c r="T16" i="13"/>
  <c r="S16" i="13"/>
  <c r="R16" i="13"/>
  <c r="Q16" i="13"/>
  <c r="P16" i="13"/>
  <c r="O16" i="13"/>
  <c r="N16" i="13"/>
  <c r="M16" i="13"/>
  <c r="I16" i="13"/>
  <c r="AJ15" i="13"/>
  <c r="J15" i="13" s="1"/>
  <c r="L15" i="13" s="1"/>
  <c r="AI15" i="13"/>
  <c r="AK15" i="13" s="1"/>
  <c r="K15" i="13" s="1"/>
  <c r="AF15" i="13"/>
  <c r="AE15" i="13"/>
  <c r="AD15" i="13"/>
  <c r="T15" i="13"/>
  <c r="S15" i="13"/>
  <c r="R15" i="13"/>
  <c r="Q15" i="13"/>
  <c r="P15" i="13"/>
  <c r="O15" i="13"/>
  <c r="N15" i="13"/>
  <c r="M15" i="13"/>
  <c r="I15" i="13"/>
  <c r="AI14" i="13"/>
  <c r="AJ14" i="13" s="1"/>
  <c r="AG14" i="13"/>
  <c r="F14" i="13" s="1"/>
  <c r="AF14" i="13"/>
  <c r="AE14" i="13"/>
  <c r="AD14" i="13"/>
  <c r="T14" i="13"/>
  <c r="S14" i="13"/>
  <c r="R14" i="13"/>
  <c r="Q14" i="13"/>
  <c r="P14" i="13"/>
  <c r="O14" i="13"/>
  <c r="N14" i="13"/>
  <c r="M14" i="13"/>
  <c r="I14" i="13"/>
  <c r="E14" i="13"/>
  <c r="AJ13" i="13"/>
  <c r="AI13" i="13"/>
  <c r="AK13" i="13" s="1"/>
  <c r="K13" i="13" s="1"/>
  <c r="AF13" i="13"/>
  <c r="AE13" i="13"/>
  <c r="AD13" i="13"/>
  <c r="T13" i="13"/>
  <c r="S13" i="13"/>
  <c r="R13" i="13"/>
  <c r="Q13" i="13"/>
  <c r="P13" i="13"/>
  <c r="O13" i="13"/>
  <c r="N13" i="13"/>
  <c r="M13" i="13"/>
  <c r="J13" i="13"/>
  <c r="L13" i="13" s="1"/>
  <c r="I13" i="13"/>
  <c r="AI12" i="13"/>
  <c r="AG12" i="13"/>
  <c r="AF12" i="13"/>
  <c r="AE12" i="13"/>
  <c r="AD12" i="13"/>
  <c r="T12" i="13"/>
  <c r="S12" i="13"/>
  <c r="R12" i="13"/>
  <c r="Q12" i="13"/>
  <c r="P12" i="13"/>
  <c r="O12" i="13"/>
  <c r="N12" i="13"/>
  <c r="M12" i="13"/>
  <c r="I12" i="13"/>
  <c r="E12" i="13"/>
  <c r="AJ11" i="13"/>
  <c r="AI11" i="13"/>
  <c r="I11" i="13" s="1"/>
  <c r="AH11" i="13"/>
  <c r="G11" i="13" s="1"/>
  <c r="AF11" i="13"/>
  <c r="AG11" i="13" s="1"/>
  <c r="F11" i="13" s="1"/>
  <c r="AE11" i="13"/>
  <c r="AD11" i="13"/>
  <c r="T11" i="13"/>
  <c r="S11" i="13"/>
  <c r="R11" i="13"/>
  <c r="Q11" i="13"/>
  <c r="P11" i="13"/>
  <c r="O11" i="13"/>
  <c r="N11" i="13"/>
  <c r="M11" i="13"/>
  <c r="J11" i="13"/>
  <c r="AI10" i="13"/>
  <c r="AG10" i="13"/>
  <c r="AH10" i="13" s="1"/>
  <c r="G10" i="13" s="1"/>
  <c r="AF10" i="13"/>
  <c r="AE10" i="13"/>
  <c r="AD10" i="13"/>
  <c r="T10" i="13"/>
  <c r="S10" i="13"/>
  <c r="R10" i="13"/>
  <c r="Q10" i="13"/>
  <c r="P10" i="13"/>
  <c r="O10" i="13"/>
  <c r="N10" i="13"/>
  <c r="M10" i="13"/>
  <c r="E10" i="13"/>
  <c r="AJ9" i="13"/>
  <c r="AK9" i="13" s="1"/>
  <c r="K9" i="13" s="1"/>
  <c r="AI9" i="13"/>
  <c r="AF9" i="13"/>
  <c r="AG9" i="13" s="1"/>
  <c r="AH9" i="13" s="1"/>
  <c r="G9" i="13" s="1"/>
  <c r="AE9" i="13"/>
  <c r="AD9" i="13"/>
  <c r="T9" i="13"/>
  <c r="S9" i="13"/>
  <c r="R9" i="13"/>
  <c r="Q9" i="13"/>
  <c r="P9" i="13"/>
  <c r="O9" i="13"/>
  <c r="N9" i="13"/>
  <c r="M9" i="13"/>
  <c r="J9" i="13"/>
  <c r="L9" i="13" s="1"/>
  <c r="I9" i="13"/>
  <c r="AI8" i="13"/>
  <c r="AG8" i="13"/>
  <c r="AH8" i="13" s="1"/>
  <c r="G8" i="13" s="1"/>
  <c r="AF8" i="13"/>
  <c r="AE8" i="13"/>
  <c r="AD8" i="13"/>
  <c r="T8" i="13"/>
  <c r="S8" i="13"/>
  <c r="R8" i="13"/>
  <c r="Q8" i="13"/>
  <c r="P8" i="13"/>
  <c r="O8" i="13"/>
  <c r="N8" i="13"/>
  <c r="M8" i="13"/>
  <c r="E8" i="13"/>
  <c r="AJ7" i="13"/>
  <c r="J7" i="13" s="1"/>
  <c r="AI7" i="13"/>
  <c r="AK7" i="13" s="1"/>
  <c r="K7" i="13" s="1"/>
  <c r="L7" i="13" s="1"/>
  <c r="AF7" i="13"/>
  <c r="AE7" i="13"/>
  <c r="AD7" i="13"/>
  <c r="T7" i="13"/>
  <c r="S7" i="13"/>
  <c r="R7" i="13"/>
  <c r="Q7" i="13"/>
  <c r="P7" i="13"/>
  <c r="O7" i="13"/>
  <c r="N7" i="13"/>
  <c r="M7" i="13"/>
  <c r="I7" i="13"/>
  <c r="AK6" i="13"/>
  <c r="K6" i="13" s="1"/>
  <c r="AI6" i="13"/>
  <c r="AJ6" i="13" s="1"/>
  <c r="J6" i="13" s="1"/>
  <c r="AG6" i="13"/>
  <c r="F6" i="13" s="1"/>
  <c r="AF6" i="13"/>
  <c r="AH6" i="13" s="1"/>
  <c r="G6" i="13" s="1"/>
  <c r="AE6" i="13"/>
  <c r="AD6" i="13"/>
  <c r="T6" i="13"/>
  <c r="S6" i="13"/>
  <c r="R6" i="13"/>
  <c r="Q6" i="13"/>
  <c r="P6" i="13"/>
  <c r="O6" i="13"/>
  <c r="N6" i="13"/>
  <c r="M6" i="13"/>
  <c r="I6" i="13"/>
  <c r="E6" i="13"/>
  <c r="AI5" i="13"/>
  <c r="I5" i="13" s="1"/>
  <c r="AF5" i="13"/>
  <c r="E5" i="13" s="1"/>
  <c r="T5" i="13"/>
  <c r="S5" i="13"/>
  <c r="R5" i="13"/>
  <c r="Q5" i="13"/>
  <c r="P5" i="13"/>
  <c r="O5" i="13"/>
  <c r="N5" i="13"/>
  <c r="M5" i="13"/>
  <c r="AI4" i="13"/>
  <c r="AF4" i="13"/>
  <c r="E4" i="13" s="1"/>
  <c r="T4" i="13"/>
  <c r="S4" i="13"/>
  <c r="R4" i="13"/>
  <c r="Q4" i="13"/>
  <c r="P4" i="13"/>
  <c r="O4" i="13"/>
  <c r="N4" i="13"/>
  <c r="M4" i="13"/>
  <c r="A3" i="13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C141" i="1" l="1"/>
  <c r="AG5" i="13"/>
  <c r="AH5" i="13" s="1"/>
  <c r="G5" i="13" s="1"/>
  <c r="AC7" i="13"/>
  <c r="AC9" i="13"/>
  <c r="AC21" i="13"/>
  <c r="AD4" i="13"/>
  <c r="AC15" i="13"/>
  <c r="L6" i="13"/>
  <c r="AC6" i="13" s="1"/>
  <c r="J16" i="13"/>
  <c r="AK16" i="13"/>
  <c r="K16" i="13" s="1"/>
  <c r="Y24" i="13"/>
  <c r="U24" i="13"/>
  <c r="AB24" i="13"/>
  <c r="AA24" i="13"/>
  <c r="Z24" i="13"/>
  <c r="V24" i="13"/>
  <c r="E34" i="13"/>
  <c r="AG34" i="13"/>
  <c r="F34" i="13" s="1"/>
  <c r="F41" i="13"/>
  <c r="AH41" i="13"/>
  <c r="G41" i="13" s="1"/>
  <c r="H6" i="13"/>
  <c r="AJ12" i="13"/>
  <c r="J12" i="13" s="1"/>
  <c r="AJ19" i="13"/>
  <c r="J19" i="13" s="1"/>
  <c r="E20" i="13"/>
  <c r="AG20" i="13"/>
  <c r="F20" i="13" s="1"/>
  <c r="I10" i="13"/>
  <c r="AJ10" i="13"/>
  <c r="AC13" i="13"/>
  <c r="AH14" i="13"/>
  <c r="G14" i="13" s="1"/>
  <c r="E27" i="13"/>
  <c r="AG27" i="13"/>
  <c r="F27" i="13" s="1"/>
  <c r="AC37" i="13"/>
  <c r="I39" i="13"/>
  <c r="L39" i="13" s="1"/>
  <c r="AC39" i="13" s="1"/>
  <c r="AK39" i="13"/>
  <c r="K39" i="13" s="1"/>
  <c r="AJ39" i="13"/>
  <c r="J39" i="13" s="1"/>
  <c r="I47" i="13"/>
  <c r="AJ47" i="13"/>
  <c r="J47" i="13" s="1"/>
  <c r="AC26" i="13"/>
  <c r="AG4" i="13"/>
  <c r="F4" i="13" s="1"/>
  <c r="H14" i="13"/>
  <c r="I17" i="13"/>
  <c r="AJ17" i="13"/>
  <c r="J17" i="13" s="1"/>
  <c r="AC20" i="13"/>
  <c r="AC25" i="13"/>
  <c r="F26" i="13"/>
  <c r="H26" i="13" s="1"/>
  <c r="AH26" i="13"/>
  <c r="G26" i="13" s="1"/>
  <c r="AJ27" i="13"/>
  <c r="J27" i="13" s="1"/>
  <c r="I31" i="13"/>
  <c r="AJ31" i="13"/>
  <c r="J31" i="13" s="1"/>
  <c r="W40" i="13"/>
  <c r="X40" i="13" s="1"/>
  <c r="AJ4" i="13"/>
  <c r="J4" i="13" s="1"/>
  <c r="I4" i="13"/>
  <c r="AK14" i="13"/>
  <c r="K14" i="13" s="1"/>
  <c r="J14" i="13"/>
  <c r="E15" i="13"/>
  <c r="AG15" i="13"/>
  <c r="F15" i="13" s="1"/>
  <c r="AK17" i="13"/>
  <c r="K17" i="13" s="1"/>
  <c r="AH18" i="13"/>
  <c r="G18" i="13" s="1"/>
  <c r="AC29" i="13"/>
  <c r="Y32" i="13"/>
  <c r="V32" i="13"/>
  <c r="U32" i="13"/>
  <c r="AB32" i="13"/>
  <c r="AA32" i="13"/>
  <c r="Z32" i="13"/>
  <c r="H41" i="13"/>
  <c r="AJ5" i="13"/>
  <c r="J5" i="13" s="1"/>
  <c r="H12" i="13"/>
  <c r="W12" i="13" s="1"/>
  <c r="X12" i="13" s="1"/>
  <c r="F12" i="13"/>
  <c r="AH12" i="13"/>
  <c r="G12" i="13" s="1"/>
  <c r="E13" i="13"/>
  <c r="AG13" i="13"/>
  <c r="F13" i="13" s="1"/>
  <c r="F19" i="13"/>
  <c r="H19" i="13" s="1"/>
  <c r="AH19" i="13"/>
  <c r="G19" i="13" s="1"/>
  <c r="AC45" i="13"/>
  <c r="F16" i="13"/>
  <c r="AJ8" i="13"/>
  <c r="J8" i="13" s="1"/>
  <c r="I8" i="13"/>
  <c r="E7" i="13"/>
  <c r="AG7" i="13"/>
  <c r="F7" i="13" s="1"/>
  <c r="F9" i="13"/>
  <c r="L14" i="13"/>
  <c r="AC14" i="13" s="1"/>
  <c r="L34" i="13"/>
  <c r="AC34" i="13" s="1"/>
  <c r="H45" i="13"/>
  <c r="F8" i="13"/>
  <c r="H8" i="13" s="1"/>
  <c r="E9" i="13"/>
  <c r="H9" i="13" s="1"/>
  <c r="W9" i="13" s="1"/>
  <c r="X9" i="13" s="1"/>
  <c r="E16" i="13"/>
  <c r="H16" i="13" s="1"/>
  <c r="W16" i="13" s="1"/>
  <c r="X16" i="13" s="1"/>
  <c r="L50" i="13"/>
  <c r="AC50" i="13" s="1"/>
  <c r="F10" i="13"/>
  <c r="H10" i="13" s="1"/>
  <c r="E11" i="13"/>
  <c r="H11" i="13" s="1"/>
  <c r="W11" i="13" s="1"/>
  <c r="X11" i="13" s="1"/>
  <c r="AK11" i="13"/>
  <c r="K11" i="13" s="1"/>
  <c r="L11" i="13" s="1"/>
  <c r="AC11" i="13" s="1"/>
  <c r="F17" i="13"/>
  <c r="H17" i="13" s="1"/>
  <c r="E18" i="13"/>
  <c r="H18" i="13" s="1"/>
  <c r="AK18" i="13"/>
  <c r="K18" i="13" s="1"/>
  <c r="L18" i="13" s="1"/>
  <c r="AC18" i="13" s="1"/>
  <c r="AH23" i="13"/>
  <c r="G23" i="13" s="1"/>
  <c r="F23" i="13"/>
  <c r="H23" i="13" s="1"/>
  <c r="E35" i="13"/>
  <c r="H35" i="13" s="1"/>
  <c r="AH35" i="13"/>
  <c r="G35" i="13" s="1"/>
  <c r="AG35" i="13"/>
  <c r="F35" i="13" s="1"/>
  <c r="W37" i="13"/>
  <c r="X37" i="13" s="1"/>
  <c r="AA39" i="13"/>
  <c r="W49" i="13"/>
  <c r="X49" i="13" s="1"/>
  <c r="AK41" i="13"/>
  <c r="K41" i="13" s="1"/>
  <c r="E42" i="13"/>
  <c r="H42" i="13" s="1"/>
  <c r="W42" i="13" s="1"/>
  <c r="X42" i="13" s="1"/>
  <c r="AH42" i="13"/>
  <c r="G42" i="13" s="1"/>
  <c r="Y48" i="13"/>
  <c r="V48" i="13"/>
  <c r="U48" i="13"/>
  <c r="AB48" i="13"/>
  <c r="AG22" i="13"/>
  <c r="F22" i="13" s="1"/>
  <c r="H40" i="13"/>
  <c r="AC42" i="13"/>
  <c r="AH46" i="13"/>
  <c r="G46" i="13" s="1"/>
  <c r="AJ23" i="13"/>
  <c r="I24" i="13"/>
  <c r="AK24" i="13"/>
  <c r="K24" i="13" s="1"/>
  <c r="I32" i="13"/>
  <c r="L32" i="13" s="1"/>
  <c r="AC32" i="13" s="1"/>
  <c r="AK32" i="13"/>
  <c r="K32" i="13" s="1"/>
  <c r="AJ32" i="13"/>
  <c r="J32" i="13" s="1"/>
  <c r="AK36" i="13"/>
  <c r="K36" i="13" s="1"/>
  <c r="J36" i="13"/>
  <c r="AK38" i="13"/>
  <c r="K38" i="13" s="1"/>
  <c r="L38" i="13" s="1"/>
  <c r="AC38" i="13" s="1"/>
  <c r="W39" i="13"/>
  <c r="X39" i="13" s="1"/>
  <c r="W41" i="13"/>
  <c r="X41" i="13" s="1"/>
  <c r="E43" i="13"/>
  <c r="H43" i="13" s="1"/>
  <c r="AH43" i="13"/>
  <c r="G43" i="13" s="1"/>
  <c r="AG43" i="13"/>
  <c r="F43" i="13" s="1"/>
  <c r="W45" i="13"/>
  <c r="X45" i="13" s="1"/>
  <c r="I48" i="13"/>
  <c r="AJ48" i="13"/>
  <c r="J48" i="13" s="1"/>
  <c r="W24" i="13"/>
  <c r="X24" i="13" s="1"/>
  <c r="H29" i="13"/>
  <c r="H33" i="13"/>
  <c r="W33" i="13" s="1"/>
  <c r="X33" i="13" s="1"/>
  <c r="AB37" i="13"/>
  <c r="AA37" i="13"/>
  <c r="Z37" i="13"/>
  <c r="Y37" i="13"/>
  <c r="Z39" i="13"/>
  <c r="Y39" i="13"/>
  <c r="V39" i="13"/>
  <c r="U39" i="13"/>
  <c r="Z48" i="13"/>
  <c r="V49" i="13"/>
  <c r="U49" i="13"/>
  <c r="AB49" i="13"/>
  <c r="AA49" i="13"/>
  <c r="F21" i="13"/>
  <c r="H21" i="13" s="1"/>
  <c r="AK22" i="13"/>
  <c r="K22" i="13" s="1"/>
  <c r="L22" i="13" s="1"/>
  <c r="AC22" i="13" s="1"/>
  <c r="H25" i="13"/>
  <c r="W25" i="13" s="1"/>
  <c r="X25" i="13" s="1"/>
  <c r="J28" i="13"/>
  <c r="L28" i="13" s="1"/>
  <c r="AC28" i="13" s="1"/>
  <c r="AK30" i="13"/>
  <c r="K30" i="13" s="1"/>
  <c r="L30" i="13" s="1"/>
  <c r="AC30" i="13" s="1"/>
  <c r="AH31" i="13"/>
  <c r="G31" i="13" s="1"/>
  <c r="F31" i="13"/>
  <c r="H31" i="13" s="1"/>
  <c r="AH33" i="13"/>
  <c r="G33" i="13" s="1"/>
  <c r="L36" i="13"/>
  <c r="AC36" i="13" s="1"/>
  <c r="I40" i="13"/>
  <c r="L40" i="13" s="1"/>
  <c r="AC40" i="13" s="1"/>
  <c r="AK40" i="13"/>
  <c r="K40" i="13" s="1"/>
  <c r="AJ40" i="13"/>
  <c r="J40" i="13" s="1"/>
  <c r="AK44" i="13"/>
  <c r="K44" i="13" s="1"/>
  <c r="J44" i="13"/>
  <c r="L44" i="13" s="1"/>
  <c r="AC44" i="13" s="1"/>
  <c r="AK46" i="13"/>
  <c r="K46" i="13" s="1"/>
  <c r="L46" i="13" s="1"/>
  <c r="AC46" i="13" s="1"/>
  <c r="AH47" i="13"/>
  <c r="G47" i="13" s="1"/>
  <c r="F47" i="13"/>
  <c r="H47" i="13" s="1"/>
  <c r="AA48" i="13"/>
  <c r="F50" i="13"/>
  <c r="AH50" i="13"/>
  <c r="G50" i="13" s="1"/>
  <c r="H50" i="13" s="1"/>
  <c r="E51" i="13"/>
  <c r="AG51" i="13"/>
  <c r="F51" i="13" s="1"/>
  <c r="AK52" i="13"/>
  <c r="K52" i="13" s="1"/>
  <c r="L52" i="13" s="1"/>
  <c r="AC52" i="13" s="1"/>
  <c r="AK53" i="13"/>
  <c r="K53" i="13" s="1"/>
  <c r="AG28" i="13"/>
  <c r="AJ33" i="13"/>
  <c r="J33" i="13" s="1"/>
  <c r="AG36" i="13"/>
  <c r="AJ41" i="13"/>
  <c r="J41" i="13" s="1"/>
  <c r="L41" i="13" s="1"/>
  <c r="AC41" i="13" s="1"/>
  <c r="AG44" i="13"/>
  <c r="F44" i="13" s="1"/>
  <c r="H44" i="13" s="1"/>
  <c r="AJ49" i="13"/>
  <c r="J49" i="13" s="1"/>
  <c r="AG52" i="13"/>
  <c r="F52" i="13" s="1"/>
  <c r="AH44" i="13"/>
  <c r="G44" i="13" s="1"/>
  <c r="AG30" i="13"/>
  <c r="F30" i="13" s="1"/>
  <c r="AJ35" i="13"/>
  <c r="J35" i="13" s="1"/>
  <c r="AG38" i="13"/>
  <c r="F38" i="13" s="1"/>
  <c r="AJ43" i="13"/>
  <c r="J43" i="13" s="1"/>
  <c r="AG46" i="13"/>
  <c r="F46" i="13" s="1"/>
  <c r="H46" i="13" s="1"/>
  <c r="AJ51" i="13"/>
  <c r="J51" i="13" s="1"/>
  <c r="AH53" i="13"/>
  <c r="G53" i="13" s="1"/>
  <c r="H53" i="13" s="1"/>
  <c r="AJ52" i="13"/>
  <c r="J52" i="13" s="1"/>
  <c r="AJ53" i="13"/>
  <c r="J53" i="13" s="1"/>
  <c r="L53" i="13" s="1"/>
  <c r="AC53" i="13" s="1"/>
  <c r="F5" i="13" l="1"/>
  <c r="H5" i="13" s="1"/>
  <c r="W5" i="13" s="1"/>
  <c r="X5" i="13" s="1"/>
  <c r="AK4" i="13"/>
  <c r="K4" i="13" s="1"/>
  <c r="V26" i="13"/>
  <c r="U26" i="13"/>
  <c r="AA26" i="13"/>
  <c r="AB26" i="13"/>
  <c r="Z26" i="13"/>
  <c r="Y26" i="13"/>
  <c r="W26" i="13"/>
  <c r="X26" i="13" s="1"/>
  <c r="U53" i="13"/>
  <c r="AB53" i="13"/>
  <c r="AA53" i="13"/>
  <c r="Z53" i="13"/>
  <c r="Y53" i="13"/>
  <c r="V53" i="13"/>
  <c r="W53" i="13"/>
  <c r="X53" i="13" s="1"/>
  <c r="Z31" i="13"/>
  <c r="Y31" i="13"/>
  <c r="V31" i="13"/>
  <c r="U31" i="13"/>
  <c r="AB31" i="13"/>
  <c r="AA31" i="13"/>
  <c r="W31" i="13"/>
  <c r="X31" i="13" s="1"/>
  <c r="Z10" i="13"/>
  <c r="Y10" i="13"/>
  <c r="V10" i="13"/>
  <c r="AB10" i="13"/>
  <c r="AA10" i="13"/>
  <c r="U10" i="13"/>
  <c r="W10" i="13"/>
  <c r="X10" i="13" s="1"/>
  <c r="Z23" i="13"/>
  <c r="Y23" i="13"/>
  <c r="V23" i="13"/>
  <c r="AB23" i="13"/>
  <c r="AA23" i="13"/>
  <c r="U23" i="13"/>
  <c r="W23" i="13"/>
  <c r="X23" i="13" s="1"/>
  <c r="V19" i="13"/>
  <c r="U19" i="13"/>
  <c r="AB19" i="13"/>
  <c r="Z19" i="13"/>
  <c r="AA19" i="13"/>
  <c r="Y19" i="13"/>
  <c r="W19" i="13"/>
  <c r="X19" i="13" s="1"/>
  <c r="Z17" i="13"/>
  <c r="Y17" i="13"/>
  <c r="V17" i="13"/>
  <c r="AB17" i="13"/>
  <c r="AA17" i="13"/>
  <c r="U17" i="13"/>
  <c r="W17" i="13"/>
  <c r="X17" i="13" s="1"/>
  <c r="AB21" i="13"/>
  <c r="AA21" i="13"/>
  <c r="Z21" i="13"/>
  <c r="Y21" i="13"/>
  <c r="V21" i="13"/>
  <c r="U21" i="13"/>
  <c r="W21" i="13"/>
  <c r="X21" i="13" s="1"/>
  <c r="AA46" i="13"/>
  <c r="Z46" i="13"/>
  <c r="Y46" i="13"/>
  <c r="V46" i="13"/>
  <c r="U46" i="13"/>
  <c r="AB46" i="13"/>
  <c r="W46" i="13"/>
  <c r="X46" i="13" s="1"/>
  <c r="V50" i="13"/>
  <c r="U50" i="13"/>
  <c r="AB50" i="13"/>
  <c r="AA50" i="13"/>
  <c r="Z50" i="13"/>
  <c r="Y50" i="13"/>
  <c r="W50" i="13"/>
  <c r="X50" i="13" s="1"/>
  <c r="Z47" i="13"/>
  <c r="Y47" i="13"/>
  <c r="V47" i="13"/>
  <c r="U47" i="13"/>
  <c r="AB47" i="13"/>
  <c r="AA47" i="13"/>
  <c r="W47" i="13"/>
  <c r="X47" i="13" s="1"/>
  <c r="U44" i="13"/>
  <c r="AB44" i="13"/>
  <c r="AA44" i="13"/>
  <c r="Z44" i="13"/>
  <c r="Y44" i="13"/>
  <c r="V44" i="13"/>
  <c r="W44" i="13"/>
  <c r="X44" i="13" s="1"/>
  <c r="AB8" i="13"/>
  <c r="Z8" i="13"/>
  <c r="Y8" i="13"/>
  <c r="V8" i="13"/>
  <c r="AA8" i="13"/>
  <c r="W8" i="13"/>
  <c r="X8" i="13" s="1"/>
  <c r="U8" i="13"/>
  <c r="L27" i="13"/>
  <c r="AC27" i="13" s="1"/>
  <c r="V43" i="13"/>
  <c r="U43" i="13"/>
  <c r="AB43" i="13"/>
  <c r="AA43" i="13"/>
  <c r="Z43" i="13"/>
  <c r="Y43" i="13"/>
  <c r="AH15" i="13"/>
  <c r="G15" i="13" s="1"/>
  <c r="AK27" i="13"/>
  <c r="K27" i="13" s="1"/>
  <c r="H20" i="13"/>
  <c r="L16" i="13"/>
  <c r="AC16" i="13" s="1"/>
  <c r="AH20" i="13"/>
  <c r="G20" i="13" s="1"/>
  <c r="AK48" i="13"/>
  <c r="K48" i="13" s="1"/>
  <c r="AH22" i="13"/>
  <c r="G22" i="13" s="1"/>
  <c r="H22" i="13" s="1"/>
  <c r="AH51" i="13"/>
  <c r="G51" i="13" s="1"/>
  <c r="AK49" i="13"/>
  <c r="K49" i="13" s="1"/>
  <c r="L49" i="13" s="1"/>
  <c r="AC49" i="13" s="1"/>
  <c r="AH38" i="13"/>
  <c r="G38" i="13" s="1"/>
  <c r="H38" i="13" s="1"/>
  <c r="AK47" i="13"/>
  <c r="K47" i="13" s="1"/>
  <c r="L47" i="13" s="1"/>
  <c r="AC47" i="13" s="1"/>
  <c r="AH27" i="13"/>
  <c r="G27" i="13" s="1"/>
  <c r="H27" i="13" s="1"/>
  <c r="J10" i="13"/>
  <c r="AK10" i="13"/>
  <c r="K10" i="13" s="1"/>
  <c r="AK19" i="13"/>
  <c r="K19" i="13" s="1"/>
  <c r="L19" i="13" s="1"/>
  <c r="AC19" i="13" s="1"/>
  <c r="V14" i="13"/>
  <c r="U14" i="13"/>
  <c r="AB14" i="13"/>
  <c r="AA14" i="13"/>
  <c r="Z14" i="13"/>
  <c r="Y14" i="13"/>
  <c r="W14" i="13"/>
  <c r="X14" i="13" s="1"/>
  <c r="AK5" i="13"/>
  <c r="K5" i="13" s="1"/>
  <c r="L5" i="13" s="1"/>
  <c r="AK51" i="13"/>
  <c r="K51" i="13" s="1"/>
  <c r="L51" i="13" s="1"/>
  <c r="AC51" i="13" s="1"/>
  <c r="AK35" i="13"/>
  <c r="K35" i="13" s="1"/>
  <c r="L35" i="13" s="1"/>
  <c r="AC35" i="13" s="1"/>
  <c r="AB45" i="13"/>
  <c r="AA45" i="13"/>
  <c r="Z45" i="13"/>
  <c r="Y45" i="13"/>
  <c r="V45" i="13"/>
  <c r="U45" i="13"/>
  <c r="V41" i="13"/>
  <c r="U41" i="13"/>
  <c r="AB41" i="13"/>
  <c r="AA41" i="13"/>
  <c r="Z41" i="13"/>
  <c r="Y41" i="13"/>
  <c r="AH4" i="13"/>
  <c r="G4" i="13" s="1"/>
  <c r="H4" i="13" s="1"/>
  <c r="L10" i="13"/>
  <c r="AC10" i="13" s="1"/>
  <c r="AK8" i="13"/>
  <c r="K8" i="13" s="1"/>
  <c r="L8" i="13" s="1"/>
  <c r="AC8" i="13" s="1"/>
  <c r="AA16" i="13"/>
  <c r="Z16" i="13"/>
  <c r="Y16" i="13"/>
  <c r="U16" i="13"/>
  <c r="AB16" i="13"/>
  <c r="V16" i="13"/>
  <c r="AB29" i="13"/>
  <c r="AA29" i="13"/>
  <c r="Z29" i="13"/>
  <c r="Y29" i="13"/>
  <c r="V29" i="13"/>
  <c r="U29" i="13"/>
  <c r="L48" i="13"/>
  <c r="AC48" i="13" s="1"/>
  <c r="H51" i="13"/>
  <c r="L24" i="13"/>
  <c r="AC24" i="13" s="1"/>
  <c r="AH30" i="13"/>
  <c r="G30" i="13" s="1"/>
  <c r="H30" i="13" s="1"/>
  <c r="Y18" i="13"/>
  <c r="V18" i="13"/>
  <c r="U18" i="13"/>
  <c r="AA18" i="13"/>
  <c r="Z18" i="13"/>
  <c r="AB18" i="13"/>
  <c r="W43" i="13"/>
  <c r="X43" i="13" s="1"/>
  <c r="AK33" i="13"/>
  <c r="K33" i="13" s="1"/>
  <c r="L33" i="13" s="1"/>
  <c r="AC33" i="13" s="1"/>
  <c r="V35" i="13"/>
  <c r="U35" i="13"/>
  <c r="AB35" i="13"/>
  <c r="AA35" i="13"/>
  <c r="Z35" i="13"/>
  <c r="Y35" i="13"/>
  <c r="V12" i="13"/>
  <c r="U12" i="13"/>
  <c r="AB12" i="13"/>
  <c r="Z12" i="13"/>
  <c r="AA12" i="13"/>
  <c r="Y12" i="13"/>
  <c r="AA9" i="13"/>
  <c r="Y9" i="13"/>
  <c r="U9" i="13"/>
  <c r="AB9" i="13"/>
  <c r="Z9" i="13"/>
  <c r="V9" i="13"/>
  <c r="AH36" i="13"/>
  <c r="G36" i="13" s="1"/>
  <c r="F36" i="13"/>
  <c r="AK43" i="13"/>
  <c r="K43" i="13" s="1"/>
  <c r="L43" i="13" s="1"/>
  <c r="AC43" i="13" s="1"/>
  <c r="J23" i="13"/>
  <c r="AK23" i="13"/>
  <c r="K23" i="13" s="1"/>
  <c r="L4" i="13"/>
  <c r="AC4" i="13" s="1"/>
  <c r="AK31" i="13"/>
  <c r="K31" i="13" s="1"/>
  <c r="AK12" i="13"/>
  <c r="K12" i="13" s="1"/>
  <c r="L12" i="13" s="1"/>
  <c r="AC12" i="13" s="1"/>
  <c r="AH34" i="13"/>
  <c r="G34" i="13" s="1"/>
  <c r="Y11" i="13"/>
  <c r="V11" i="13"/>
  <c r="U11" i="13"/>
  <c r="AA11" i="13"/>
  <c r="Z11" i="13"/>
  <c r="AB11" i="13"/>
  <c r="W35" i="13"/>
  <c r="X35" i="13" s="1"/>
  <c r="V25" i="13"/>
  <c r="AB25" i="13"/>
  <c r="AA25" i="13"/>
  <c r="Z25" i="13"/>
  <c r="Y25" i="13"/>
  <c r="U25" i="13"/>
  <c r="V33" i="13"/>
  <c r="U33" i="13"/>
  <c r="AB33" i="13"/>
  <c r="AA33" i="13"/>
  <c r="Y33" i="13"/>
  <c r="Z33" i="13"/>
  <c r="Y40" i="13"/>
  <c r="V40" i="13"/>
  <c r="U40" i="13"/>
  <c r="AB40" i="13"/>
  <c r="AA40" i="13"/>
  <c r="Z40" i="13"/>
  <c r="H15" i="13"/>
  <c r="AH52" i="13"/>
  <c r="G52" i="13" s="1"/>
  <c r="H52" i="13" s="1"/>
  <c r="AH28" i="13"/>
  <c r="G28" i="13" s="1"/>
  <c r="F28" i="13"/>
  <c r="W29" i="13"/>
  <c r="X29" i="13" s="1"/>
  <c r="V42" i="13"/>
  <c r="U42" i="13"/>
  <c r="AB42" i="13"/>
  <c r="AA42" i="13"/>
  <c r="Z42" i="13"/>
  <c r="Y42" i="13"/>
  <c r="AH7" i="13"/>
  <c r="G7" i="13" s="1"/>
  <c r="H7" i="13" s="1"/>
  <c r="L31" i="13"/>
  <c r="AC31" i="13" s="1"/>
  <c r="L17" i="13"/>
  <c r="AC17" i="13" s="1"/>
  <c r="V6" i="13"/>
  <c r="AB6" i="13"/>
  <c r="AA6" i="13"/>
  <c r="Z6" i="13"/>
  <c r="Y6" i="13"/>
  <c r="W6" i="13"/>
  <c r="X6" i="13" s="1"/>
  <c r="U6" i="13"/>
  <c r="H34" i="13"/>
  <c r="W18" i="13"/>
  <c r="X18" i="13" s="1"/>
  <c r="AH13" i="13"/>
  <c r="G13" i="13" s="1"/>
  <c r="H13" i="13" s="1"/>
  <c r="Z5" i="13" l="1"/>
  <c r="AB5" i="13"/>
  <c r="V5" i="13"/>
  <c r="U5" i="13"/>
  <c r="AA5" i="13"/>
  <c r="Y5" i="13"/>
  <c r="V52" i="13"/>
  <c r="U52" i="13"/>
  <c r="AB52" i="13"/>
  <c r="AA52" i="13"/>
  <c r="Z52" i="13"/>
  <c r="Y52" i="13"/>
  <c r="W52" i="13"/>
  <c r="X52" i="13" s="1"/>
  <c r="AC5" i="13"/>
  <c r="V27" i="13"/>
  <c r="U27" i="13"/>
  <c r="AB27" i="13"/>
  <c r="Z27" i="13"/>
  <c r="AA27" i="13"/>
  <c r="Y27" i="13"/>
  <c r="W27" i="13"/>
  <c r="X27" i="13" s="1"/>
  <c r="AA22" i="13"/>
  <c r="Z22" i="13"/>
  <c r="Y22" i="13"/>
  <c r="V22" i="13"/>
  <c r="U22" i="13"/>
  <c r="AB22" i="13"/>
  <c r="W22" i="13"/>
  <c r="X22" i="13" s="1"/>
  <c r="V13" i="13"/>
  <c r="U13" i="13"/>
  <c r="AB13" i="13"/>
  <c r="AA13" i="13"/>
  <c r="Y13" i="13"/>
  <c r="Z13" i="13"/>
  <c r="W13" i="13"/>
  <c r="X13" i="13" s="1"/>
  <c r="AA38" i="13"/>
  <c r="Z38" i="13"/>
  <c r="Y38" i="13"/>
  <c r="V38" i="13"/>
  <c r="AB38" i="13"/>
  <c r="U38" i="13"/>
  <c r="W38" i="13"/>
  <c r="X38" i="13" s="1"/>
  <c r="U7" i="13"/>
  <c r="AA7" i="13"/>
  <c r="Z7" i="13"/>
  <c r="Y7" i="13"/>
  <c r="V7" i="13"/>
  <c r="AB7" i="13"/>
  <c r="W7" i="13"/>
  <c r="X7" i="13" s="1"/>
  <c r="AA30" i="13"/>
  <c r="Z30" i="13"/>
  <c r="Y30" i="13"/>
  <c r="V30" i="13"/>
  <c r="U30" i="13"/>
  <c r="AB30" i="13"/>
  <c r="W30" i="13"/>
  <c r="X30" i="13" s="1"/>
  <c r="U15" i="13"/>
  <c r="AB15" i="13"/>
  <c r="AA15" i="13"/>
  <c r="Z15" i="13"/>
  <c r="Y15" i="13"/>
  <c r="V15" i="13"/>
  <c r="W15" i="13"/>
  <c r="X15" i="13" s="1"/>
  <c r="L23" i="13"/>
  <c r="AC23" i="13" s="1"/>
  <c r="V51" i="13"/>
  <c r="U51" i="13"/>
  <c r="AB51" i="13"/>
  <c r="AA51" i="13"/>
  <c r="Z51" i="13"/>
  <c r="Y51" i="13"/>
  <c r="W51" i="13"/>
  <c r="X51" i="13" s="1"/>
  <c r="H36" i="13"/>
  <c r="AB4" i="13"/>
  <c r="Z4" i="13"/>
  <c r="Y4" i="13"/>
  <c r="V4" i="13"/>
  <c r="AA4" i="13"/>
  <c r="W4" i="13"/>
  <c r="X4" i="13" s="1"/>
  <c r="U4" i="13"/>
  <c r="AE4" i="13"/>
  <c r="V20" i="13"/>
  <c r="U20" i="13"/>
  <c r="AB20" i="13"/>
  <c r="AA20" i="13"/>
  <c r="Y20" i="13"/>
  <c r="Z20" i="13"/>
  <c r="W20" i="13"/>
  <c r="X20" i="13" s="1"/>
  <c r="V34" i="13"/>
  <c r="U34" i="13"/>
  <c r="AB34" i="13"/>
  <c r="AA34" i="13"/>
  <c r="Z34" i="13"/>
  <c r="Y34" i="13"/>
  <c r="W34" i="13"/>
  <c r="X34" i="13" s="1"/>
  <c r="H28" i="13"/>
  <c r="AE5" i="13" l="1"/>
  <c r="U36" i="13"/>
  <c r="AB36" i="13"/>
  <c r="AA36" i="13"/>
  <c r="Z36" i="13"/>
  <c r="Y36" i="13"/>
  <c r="V36" i="13"/>
  <c r="W36" i="13"/>
  <c r="X36" i="13" s="1"/>
  <c r="U28" i="13"/>
  <c r="AB28" i="13"/>
  <c r="AA28" i="13"/>
  <c r="Z28" i="13"/>
  <c r="Y28" i="13"/>
  <c r="V28" i="13"/>
  <c r="W28" i="13"/>
  <c r="X28" i="13" s="1"/>
  <c r="AD5" i="13"/>
  <c r="AW63" i="1" l="1"/>
  <c r="C97" i="4"/>
  <c r="D97" i="4"/>
  <c r="C91" i="4"/>
  <c r="D51" i="4"/>
  <c r="C52" i="4"/>
  <c r="C51" i="4"/>
  <c r="C92" i="4"/>
  <c r="E92" i="4" l="1"/>
  <c r="E91" i="4"/>
  <c r="C81" i="1"/>
  <c r="C48" i="4"/>
  <c r="E89" i="4"/>
  <c r="C89" i="4"/>
  <c r="D118" i="4" l="1"/>
  <c r="E119" i="4" s="1"/>
  <c r="C118" i="4"/>
  <c r="E115" i="4"/>
  <c r="D47" i="4"/>
  <c r="E107" i="4"/>
  <c r="D104" i="4"/>
  <c r="D98" i="4"/>
  <c r="D108" i="4"/>
  <c r="C108" i="4"/>
  <c r="C99" i="4"/>
  <c r="C101" i="4"/>
  <c r="C96" i="4"/>
  <c r="C98" i="4"/>
  <c r="E94" i="4"/>
  <c r="D93" i="4"/>
  <c r="E93" i="4" s="1"/>
  <c r="C94" i="4"/>
  <c r="C93" i="4"/>
  <c r="E88" i="4"/>
  <c r="E87" i="4"/>
  <c r="AD4" i="3" a="1"/>
  <c r="AD4" i="3" s="1"/>
  <c r="E77" i="4" l="1"/>
  <c r="E78" i="4"/>
  <c r="E108" i="4"/>
  <c r="E113" i="4"/>
  <c r="E104" i="4"/>
  <c r="E105" i="4"/>
  <c r="E103" i="4"/>
  <c r="E102" i="4"/>
  <c r="E97" i="4"/>
  <c r="E101" i="4"/>
  <c r="E99" i="4"/>
  <c r="E100" i="4"/>
  <c r="E118" i="4"/>
  <c r="E98" i="4"/>
  <c r="E53" i="4" l="1"/>
  <c r="C115" i="4" l="1"/>
  <c r="AF150" i="1"/>
  <c r="AW150" i="1"/>
  <c r="AF153" i="1"/>
  <c r="AF152" i="1"/>
  <c r="AF151" i="1"/>
  <c r="R153" i="1"/>
  <c r="R152" i="1"/>
  <c r="R151" i="1"/>
  <c r="C86" i="4" l="1"/>
  <c r="D85" i="4"/>
  <c r="C85" i="4"/>
  <c r="C82" i="4"/>
  <c r="C83" i="4"/>
  <c r="C81" i="4"/>
  <c r="C78" i="4"/>
  <c r="C77" i="4"/>
  <c r="D76" i="4"/>
  <c r="E76" i="4" s="1"/>
  <c r="E75" i="4"/>
  <c r="C75" i="4"/>
  <c r="E74" i="4"/>
  <c r="C74" i="4"/>
  <c r="C73" i="4"/>
  <c r="E72" i="4"/>
  <c r="C72" i="4"/>
  <c r="E71" i="4"/>
  <c r="C71" i="4"/>
  <c r="D70" i="4"/>
  <c r="E70" i="4" s="1"/>
  <c r="C70" i="4"/>
  <c r="E57" i="4"/>
  <c r="E56" i="4"/>
  <c r="E52" i="4"/>
  <c r="E51" i="4"/>
  <c r="E49" i="4"/>
  <c r="C49" i="4"/>
  <c r="C47" i="4"/>
  <c r="D46" i="4"/>
  <c r="E46" i="4" s="1"/>
  <c r="C46" i="4"/>
  <c r="C15" i="4"/>
  <c r="M16" i="4" s="1"/>
  <c r="J4" i="4"/>
  <c r="AW153" i="1"/>
  <c r="AW152" i="1"/>
  <c r="AW151" i="1"/>
  <c r="AY136" i="1"/>
  <c r="C105" i="4" s="1"/>
  <c r="C104" i="4"/>
  <c r="C76" i="4"/>
  <c r="E80" i="4" l="1"/>
  <c r="E79" i="4"/>
  <c r="E73" i="4"/>
  <c r="E86" i="4"/>
  <c r="N16" i="4"/>
  <c r="N22" i="4" s="1"/>
  <c r="N24" i="4" s="1"/>
  <c r="F16" i="4"/>
  <c r="F19" i="4" s="1"/>
  <c r="E82" i="4"/>
  <c r="E85" i="4"/>
  <c r="M4" i="4"/>
  <c r="M9" i="4" s="1"/>
  <c r="E4" i="4"/>
  <c r="K4" i="4"/>
  <c r="K6" i="4" s="1"/>
  <c r="F4" i="4"/>
  <c r="C4" i="4"/>
  <c r="C6" i="4" s="1"/>
  <c r="E81" i="4"/>
  <c r="L4" i="4"/>
  <c r="L9" i="4" s="1"/>
  <c r="L11" i="4" s="1"/>
  <c r="H4" i="4"/>
  <c r="D4" i="4"/>
  <c r="G4" i="4"/>
  <c r="G9" i="4" s="1"/>
  <c r="G11" i="4" s="1"/>
  <c r="I4" i="4"/>
  <c r="I6" i="4" s="1"/>
  <c r="E83" i="4"/>
  <c r="M19" i="4"/>
  <c r="M22" i="4"/>
  <c r="M24" i="4" s="1"/>
  <c r="J6" i="4"/>
  <c r="J9" i="4"/>
  <c r="J11" i="4" s="1"/>
  <c r="G16" i="4"/>
  <c r="O16" i="4"/>
  <c r="H16" i="4"/>
  <c r="P16" i="4"/>
  <c r="P22" i="4" s="1"/>
  <c r="I16" i="4"/>
  <c r="L16" i="4"/>
  <c r="J16" i="4"/>
  <c r="C16" i="4"/>
  <c r="K16" i="4"/>
  <c r="D16" i="4"/>
  <c r="E47" i="4"/>
  <c r="E16" i="4"/>
  <c r="D136" i="4" l="1"/>
  <c r="E136" i="4" s="1"/>
  <c r="C139" i="4" s="1"/>
  <c r="C7" i="1" s="1"/>
  <c r="G6" i="4"/>
  <c r="F22" i="4"/>
  <c r="F24" i="4" s="1"/>
  <c r="K9" i="4"/>
  <c r="K11" i="4" s="1"/>
  <c r="N19" i="4"/>
  <c r="C9" i="4"/>
  <c r="C11" i="4" s="1"/>
  <c r="I9" i="4"/>
  <c r="I11" i="4" s="1"/>
  <c r="F6" i="4"/>
  <c r="F9" i="4"/>
  <c r="F11" i="4" s="1"/>
  <c r="D9" i="4"/>
  <c r="D11" i="4" s="1"/>
  <c r="D6" i="4"/>
  <c r="E6" i="4"/>
  <c r="E9" i="4"/>
  <c r="E11" i="4" s="1"/>
  <c r="H9" i="4"/>
  <c r="H11" i="4" s="1"/>
  <c r="H6" i="4"/>
  <c r="H22" i="4"/>
  <c r="H24" i="4" s="1"/>
  <c r="H19" i="4"/>
  <c r="D19" i="4"/>
  <c r="D22" i="4"/>
  <c r="D24" i="4" s="1"/>
  <c r="I22" i="4"/>
  <c r="I24" i="4" s="1"/>
  <c r="I19" i="4"/>
  <c r="L19" i="4"/>
  <c r="L22" i="4"/>
  <c r="L24" i="4" s="1"/>
  <c r="O22" i="4"/>
  <c r="O24" i="4" s="1"/>
  <c r="C19" i="4"/>
  <c r="C22" i="4"/>
  <c r="C24" i="4" s="1"/>
  <c r="J19" i="4"/>
  <c r="J22" i="4"/>
  <c r="J24" i="4" s="1"/>
  <c r="G19" i="4"/>
  <c r="G22" i="4"/>
  <c r="G24" i="4" s="1"/>
  <c r="K19" i="4"/>
  <c r="K22" i="4"/>
  <c r="K24" i="4" s="1"/>
  <c r="E19" i="4"/>
  <c r="E22" i="4"/>
  <c r="E24" i="4" s="1"/>
  <c r="C12" i="4" l="1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F51" i="4" l="1"/>
  <c r="E5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c057514</author>
  </authors>
  <commentList>
    <comment ref="B32" authorId="0" shapeId="0" xr:uid="{6A0FE869-F840-4E17-B4AF-B753737D409E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TEMPO DE ATUAÇÃO LEVANDO EM CONSIDERAÇÃO A CORRENTE DE MAGNETIZAÇÃO
</t>
        </r>
      </text>
    </comment>
    <comment ref="E32" authorId="0" shapeId="0" xr:uid="{3278F673-96C5-4C67-9946-67FCD93195D5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AJUSTE DA CURVA DADO OS PARAMETROS.CADA RELE TEM SEUS LIMITES DE DIAL ESPECIFICO
</t>
        </r>
      </text>
    </comment>
    <comment ref="B35" authorId="0" shapeId="0" xr:uid="{376EE09B-F7B3-48D3-9FDE-DE91F399CAFB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DE MAGNETIZAÇÃO TOTAL OU INSTANTANEA DE FASE CONSIDERANDO A SOMA DE TODOS OS TRAFOS ACRESCIDO DE 5%
 </t>
        </r>
      </text>
    </comment>
    <comment ref="B36" authorId="0" shapeId="0" xr:uid="{6FC80759-FA72-4C53-BE07-73713C74B468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NOMINAL DA PLANTA(DEMANDA CONTRATADA) ACRESCIDO DE 5%
</t>
        </r>
      </text>
    </comment>
    <comment ref="B47" authorId="0" shapeId="0" xr:uid="{1844F8DC-D9F5-40A6-8ABD-A04AB6127F3E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TEMPO DE ATUAÇÃO LEVANDO EM CONSIDERAÇÃO A CORRENTE DE MAGNETIZAÇÃO
</t>
        </r>
      </text>
    </comment>
    <comment ref="E47" authorId="0" shapeId="0" xr:uid="{DF9059DF-19B0-4927-92D4-95CF653E6906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AJUSTE DA CURVA DADO OS PARAMETROS.CADA RELE TEM SEUS LIMITES DE DIAL ESPECIFICO
</t>
        </r>
      </text>
    </comment>
    <comment ref="B50" authorId="0" shapeId="0" xr:uid="{17BC588F-EB1A-41CF-9159-6661D8AE29E6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DE MAGNETIZAÇÃO TOTAL OU INSTANTANEA DE FASE CONSIDERANDO A SOMA DE TODOS OS TRAFOS ACRESCIDO DE 5%
 </t>
        </r>
      </text>
    </comment>
    <comment ref="B51" authorId="0" shapeId="0" xr:uid="{D3EE42F0-B2C3-4207-81E7-C08AC418B572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NOMINAL DA PLANTA(DEMANDA CONTRATADA) ACRESCIDO DE 5%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<sst xmlns="http://schemas.openxmlformats.org/spreadsheetml/2006/main" count="1800" uniqueCount="1241">
  <si>
    <t>FORMULÁRIO ORÇAMENTO DE CONEXÃO/ALTERAÇÃO DE CARGA URBANA OU RURAL EM MÉDIA TENSÃO</t>
  </si>
  <si>
    <t>Controle de ajustes :</t>
  </si>
  <si>
    <t>revisão 2</t>
  </si>
  <si>
    <t>revisão 3</t>
  </si>
  <si>
    <t>*Campos de preenchimento obrigatório       **Campos de preenchimento obrigatório para pessoa física</t>
  </si>
  <si>
    <t>VERSÃO PARA PREENCHIMENTO DIGITAL</t>
  </si>
  <si>
    <t>ORIENTAÇÕES PARA PREENCHIMENTO DO FORMULÁRIO:</t>
  </si>
  <si>
    <t xml:space="preserve">• O formulário deverá ser preenchido pelo cliente ou Responsável Técnico contratado para as solicitações de Conexão Nova e Alteração de Demanda de Unidades Consumidoras atendidas em Média Tensão (MT);
• Conforme artigo 9° da Resolução Normativa ANEEL (REN) Nº 1.000/2021 que trata da representação, o responsável técnico deverá apresentar procuração (pessoa física ou pessoa jurídica) para solicitações em nome de terceiros."													</t>
  </si>
  <si>
    <t xml:space="preserve">• Para os pedidos de Conexão Nova é obrigatório anexar ao formulário um dos documentos emitidos por órgão competente que comprove que a unidade consumidora está localizada em área regular, quando se tratar de propriedades com ocupações em faixa de domínio ou servidão, conforme relação disponível no portal Cemig: </t>
  </si>
  <si>
    <t>https://www.cemig.com.br/atendimento/ligacao-nova-e-aumento-de-carga/</t>
  </si>
  <si>
    <t xml:space="preserve">• É obrigatório anexar a este formulário a planta de situação da edificação conforme ND-5.3, com exceção para solicitação de alteração de demanda sem mudança de local da subestação;																																										
• Serão verificadas as condições ambientais pela Cemig:	</t>
  </si>
  <si>
    <t xml:space="preserve">a)  Caso a propriedade esteja localizada em área protegida pela legislação, é obrigatório apresentar documento que comprove a regularização ambiental emitido por órgão competente.																																										
b)  Caso a propriedade esteja em entorno de reservatório deve ser apresentada autorização da concessionária ou do responsável pelo reservatório.		</t>
  </si>
  <si>
    <t xml:space="preserve">• Para unidade consumidora atendida em Média Tensão e com faturamento em Baixa Tensão, o interessado deverá formalizar o seu pedido através do Termo de Opção pelo Faturamento Monômio;																																										
• Se houver motores monofásicos acima de 15 CV e/ou trifásicos acima de 50 CV, deverá ser obrigatório anexar o formulário para análise de partida de motores disponível no seguinte link juntamente com esse formulário;	</t>
  </si>
  <si>
    <t>https://www.cemig.com.br/wp-content/uploads/2021/06/Formulario_Partida_Motores.xls</t>
  </si>
  <si>
    <t>"Conforme artigo 68 (REN) Nº 1000/2021 ANEEL:
Caso seja marcado ""Sim"" para a pergunta ""A subestação está pronta para ser ligada?*"" O pedido de vistoria e ligação será disparado automaticamente após conclusão das etapas do orçamento de conexão.Caso seja marcado ""Não"", você deve solicitar seu pedido de vistoria e ligação em até 120 dias após a conclusão das etapas do orçamento de conexão. 
Lembrando que o orçamento de conexão poderá ser cancelado em caso de duas reprovações pelo mesmo motivo e que há cobrança de taxa a partir do segundo serviço realizado."</t>
  </si>
  <si>
    <t>link para acesso a carta de clientes irrigantes:</t>
  </si>
  <si>
    <t>https://www.cemig.com.br/wp-content/uploads/2025/01/formaliza_solic_desconto_irrigante_aquicultor_versao_D_portal_Cemig.docx</t>
  </si>
  <si>
    <t xml:space="preserve">• Se houver unidade que possua geração em regime de paralelismo permanente sem injeção(GRID ZERO), ou paralelismo momentâneo sem injeção (GERADOR A DIESEL) deverá ser informado no formulário.
Caso for solicitar análise de migração da GD para GRID-ZERO favor consultar o manual do GRID-ZERO no link abaixo:
				</t>
  </si>
  <si>
    <t>https://www.cemig.com.br/mini-e-microgeracao-distribuida/</t>
  </si>
  <si>
    <t>• Caso opte pela tarifação monômia , o formulário abaixo deverá ser preenchido:</t>
  </si>
  <si>
    <t>https://www.cemig.com.br/wp-content/uploads/2020/10/Termo-de-Opcao-pelo-Faturamento-Monomio.doc</t>
  </si>
  <si>
    <t xml:space="preserve">• Campos com "*" ao lado são de preenchimento obrigatório. 
• Campos com “**” ao lado, acrescente 0 caso não possua demanda contratada. "											</t>
  </si>
  <si>
    <t>1. Classificação do Atendimento</t>
  </si>
  <si>
    <t>Opção de Atendimento*</t>
  </si>
  <si>
    <t>Finalidade:*</t>
  </si>
  <si>
    <t>Número da ART/TRT do Projeto:</t>
  </si>
  <si>
    <t>Telefone do RT</t>
  </si>
  <si>
    <t>Celular:</t>
  </si>
  <si>
    <t>Fixo:</t>
  </si>
  <si>
    <t>2. Dados do Proprietário</t>
  </si>
  <si>
    <t>Nome Completo ou Razão Social:*</t>
  </si>
  <si>
    <t>CPF/CNPJ:*</t>
  </si>
  <si>
    <t>Telefone do cliente:*</t>
  </si>
  <si>
    <t>E-mail do cliente:</t>
  </si>
  <si>
    <t>Telefone do solicitante:</t>
  </si>
  <si>
    <t>E-mail do solicitante:</t>
  </si>
  <si>
    <t>3. Email ou Endereço para Correspondência/Entrega da Conta</t>
  </si>
  <si>
    <t>Deseja escolher uma data de Vencimento da Fatura:*</t>
  </si>
  <si>
    <t>Como deseja receber a correspondência?</t>
  </si>
  <si>
    <t>Informar E-mail: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</si>
  <si>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</si>
  <si>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</si>
  <si>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</si>
  <si>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</si>
  <si>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</si>
  <si>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</si>
  <si>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</si>
  <si>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</si>
  <si>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Se tratando de poder público, caso tenha conta globalizada e desejar vincular o vencimento da conta desta unidade junto com outras instalações, informar o nº da conta globalizada (Trata-se do   código de débito automático globalizado da fatura):</t>
  </si>
  <si>
    <t>4. Dados da Unidade Consumidora (Endereço do Ponto de Entrega)</t>
  </si>
  <si>
    <t>Atividade desenvolvida na unidade consumidora:*</t>
  </si>
  <si>
    <t>Ramo da Atividade:*</t>
  </si>
  <si>
    <t xml:space="preserve">CEP:* </t>
  </si>
  <si>
    <t>Localização:*</t>
  </si>
  <si>
    <t>Município:*</t>
  </si>
  <si>
    <t>Estado:*</t>
  </si>
  <si>
    <t>Fuso:</t>
  </si>
  <si>
    <t>Latitude nova*:</t>
  </si>
  <si>
    <t>Longitude nova*:</t>
  </si>
  <si>
    <t>Coordenada em UTM:</t>
  </si>
  <si>
    <t>Para Urbano:</t>
  </si>
  <si>
    <t>Endereço:*</t>
  </si>
  <si>
    <t xml:space="preserve">Nº:* </t>
  </si>
  <si>
    <t>Bairro:*</t>
  </si>
  <si>
    <t xml:space="preserve">Complem.: </t>
  </si>
  <si>
    <t xml:space="preserve">Para Rural: </t>
  </si>
  <si>
    <t>Distr./Comun./Região:*</t>
  </si>
  <si>
    <t>Nome da Propriedade:*</t>
  </si>
  <si>
    <t>Ponto de Referência:</t>
  </si>
  <si>
    <t>Nº Instalação do Vizinho: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</si>
  <si>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</si>
  <si>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A Unidade Consumidora encontra-se inserida em Reserva Legal?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</si>
  <si>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</si>
  <si>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r>
      <rPr>
        <b/>
        <sz val="12"/>
        <color theme="1"/>
        <rFont val="Calibri"/>
        <family val="2"/>
      </rPr>
      <t xml:space="preserve">3) </t>
    </r>
    <r>
      <rPr>
        <sz val="12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</t>
    </r>
  </si>
  <si>
    <r>
      <rPr>
        <b/>
        <sz val="12"/>
        <color theme="1"/>
        <rFont val="Calibri"/>
        <family val="2"/>
      </rPr>
      <t xml:space="preserve">4) </t>
    </r>
    <r>
      <rPr>
        <sz val="12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</si>
  <si>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A subestação está pronta para ser ligada?*</t>
  </si>
  <si>
    <t>5. Dados Técnicos</t>
  </si>
  <si>
    <t>Trata-se de subestação compartilhada(Multimedição)?</t>
  </si>
  <si>
    <t>Nível de tensão da rede de Média Tensão:*</t>
  </si>
  <si>
    <t>TRANSFORMADOR(ES)*</t>
  </si>
  <si>
    <t>MOTOR(ES)</t>
  </si>
  <si>
    <t>TRAFO*</t>
  </si>
  <si>
    <t>Potência (kVA)*</t>
  </si>
  <si>
    <t>QTDE*</t>
  </si>
  <si>
    <t xml:space="preserve"> RELAÇÃO I MAG / I NOMINAL </t>
  </si>
  <si>
    <t>Caso  houver motores, favor preencher os campos com as informações.</t>
  </si>
  <si>
    <t>TRF01</t>
  </si>
  <si>
    <t>TRF02</t>
  </si>
  <si>
    <t>TRF03</t>
  </si>
  <si>
    <t>Informar a carga operante da unidade consumidora quando houver a partida do maior motor:</t>
  </si>
  <si>
    <t>TRF04</t>
  </si>
  <si>
    <t>TRF05</t>
  </si>
  <si>
    <t>Informar corrente de partida (Ip) prevista para energização do motor de maior potência da instalação em amperes:</t>
  </si>
  <si>
    <t>TRF06</t>
  </si>
  <si>
    <t>TRF07</t>
  </si>
  <si>
    <t>Informar tempo (t) de duração da corrente de partida prevista para energização do motor de maior potência da instalação em segundos:</t>
  </si>
  <si>
    <t>å</t>
  </si>
  <si>
    <t xml:space="preserve">Informações de cargas especiais </t>
  </si>
  <si>
    <t>Informações  da instalação na partida</t>
  </si>
  <si>
    <t>Tipo de carga especial</t>
  </si>
  <si>
    <t>Pot(CV)</t>
  </si>
  <si>
    <t>FP</t>
  </si>
  <si>
    <r>
      <t>Rend (</t>
    </r>
    <r>
      <rPr>
        <sz val="12"/>
        <color theme="1"/>
        <rFont val="Aptos Narrow"/>
        <family val="2"/>
      </rPr>
      <t>n</t>
    </r>
    <r>
      <rPr>
        <sz val="12"/>
        <color theme="1"/>
        <rFont val="Calibri"/>
        <family val="2"/>
        <scheme val="minor"/>
      </rPr>
      <t>)</t>
    </r>
  </si>
  <si>
    <t>Pot (kVA)</t>
  </si>
  <si>
    <t>Tensão (V)</t>
  </si>
  <si>
    <t>Pot(Kw)</t>
  </si>
  <si>
    <t>I nominal</t>
  </si>
  <si>
    <t>Ip/In</t>
  </si>
  <si>
    <t>I partida (A)</t>
  </si>
  <si>
    <t>Tempo Ip(s)</t>
  </si>
  <si>
    <t>Ip  primário (A)</t>
  </si>
  <si>
    <t>Dispositivo de partida</t>
  </si>
  <si>
    <t>Carga operante da Instalação na Partida(Kva)</t>
  </si>
  <si>
    <t>Corrente Operante (A)</t>
  </si>
  <si>
    <t>Corrente Total (A)</t>
  </si>
  <si>
    <t>Motor</t>
  </si>
  <si>
    <t>Chave Compensadora</t>
  </si>
  <si>
    <t xml:space="preserve">Relação de cargas especiais </t>
  </si>
  <si>
    <t>Qtde de fases</t>
  </si>
  <si>
    <t>Tensão</t>
  </si>
  <si>
    <t>Potência (CV)</t>
  </si>
  <si>
    <t>Potência (Kw)</t>
  </si>
  <si>
    <t>Fator de potência(FP)</t>
  </si>
  <si>
    <t>Rendimento (n)</t>
  </si>
  <si>
    <t>I partida</t>
  </si>
  <si>
    <t>Relação Ip/In</t>
  </si>
  <si>
    <t>EXEMPLO: (Motor)</t>
  </si>
  <si>
    <t>Trifásico</t>
  </si>
  <si>
    <t>380 v</t>
  </si>
  <si>
    <t>150 CV</t>
  </si>
  <si>
    <t>110 Kw</t>
  </si>
  <si>
    <t xml:space="preserve">219,84 A </t>
  </si>
  <si>
    <t>1758,72 A</t>
  </si>
  <si>
    <t>Soft-Starter</t>
  </si>
  <si>
    <t>Para Conexão Nova:</t>
  </si>
  <si>
    <t>Potência (Transformadores):*</t>
  </si>
  <si>
    <t>Tipo de Subestação:*</t>
  </si>
  <si>
    <t>Quantidade (Transformadores):*</t>
  </si>
  <si>
    <t>Para Alteração de Demanda:</t>
  </si>
  <si>
    <t>Potência (Transformadores) atual:*</t>
  </si>
  <si>
    <t>Qtde Atual:*</t>
  </si>
  <si>
    <t>Haverá troca do tipo de subestação?*</t>
  </si>
  <si>
    <t>FORMULA CONEXÃO NOVA</t>
  </si>
  <si>
    <t>Potência (Transformadores) futura:*</t>
  </si>
  <si>
    <t>Qtde futura:*</t>
  </si>
  <si>
    <t>Trata-se de instalação faturada através de tarifa monômia?*</t>
  </si>
  <si>
    <t>A modalidade tarifária horária será verde ou azul?*</t>
  </si>
  <si>
    <t>Haverá demanda escalonada?:*</t>
  </si>
  <si>
    <t>Demanda contratada KW:**</t>
  </si>
  <si>
    <t>DEMANDA ESCALONADA:*</t>
  </si>
  <si>
    <t>Considerando as cargas informadas (transformadores e motores e carga operante), o DIAL de fase, considerando uma curva EXTREMAMENTE INVERSA seria de:</t>
  </si>
  <si>
    <t>Caso o DIAL previsto no projeto para coordenação e seletividade da proteção em MT seja diferente do valor estimado, favor informá-lo :</t>
  </si>
  <si>
    <t>Possui sistema de geração em regime de paralelismo momentâneo? (Gerador a diesel)*</t>
  </si>
  <si>
    <t>Possui sistema de geração em regime de paralelismo permanente sem injeção (GRID ZERO)?*</t>
  </si>
  <si>
    <t>Possui sistema unidades consumidoras de Baixa tensão (BT) na mesma propriedade?*</t>
  </si>
  <si>
    <t>Não</t>
  </si>
  <si>
    <t>RAMAL DE ENTRADA*</t>
  </si>
  <si>
    <t>Selecionar  o tipo de ramal de entrada que atende ou atenderá a unidade consumidora conforme tipo de Subestação e ND-5.3:*</t>
  </si>
  <si>
    <t>RAMAL:</t>
  </si>
  <si>
    <t>Obs: A seleção do ramal de entrada em formulário não exime a apresentação da planta situação do local que deve ser anexada durante a solicitação de análise!</t>
  </si>
  <si>
    <t>6. Observações</t>
  </si>
  <si>
    <t>Por ser verdade, firmo o presente para todos os fins de direito.</t>
  </si>
  <si>
    <t>______________________________________________________________________________________________________________</t>
  </si>
  <si>
    <t>(Local e data)</t>
  </si>
  <si>
    <t>Assinatura do(a) proprietário(a) ou representante legal</t>
  </si>
  <si>
    <t>(A assinatura é obrigatória apenas para pedidos realizados presencialmente nas agências ou postos de atendimento)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</si>
  <si>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</si>
  <si>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</si>
  <si>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</si>
  <si>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</si>
  <si>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</si>
  <si>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</si>
  <si>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</si>
  <si>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</si>
  <si>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</si>
  <si>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</si>
  <si>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</si>
  <si>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</si>
  <si>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</si>
  <si>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</t>
  </si>
  <si>
    <t>e'</t>
  </si>
  <si>
    <t>A</t>
  </si>
  <si>
    <t>B</t>
  </si>
  <si>
    <t>C</t>
  </si>
  <si>
    <t>D</t>
  </si>
  <si>
    <t>E</t>
  </si>
  <si>
    <t>F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</si>
  <si>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</si>
  <si>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</si>
  <si>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</si>
  <si>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</si>
  <si>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</si>
  <si>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</si>
  <si>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</si>
  <si>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V</t>
  </si>
  <si>
    <t>p</t>
  </si>
  <si>
    <t>N</t>
  </si>
  <si>
    <t>a</t>
  </si>
  <si>
    <t>b</t>
  </si>
  <si>
    <t/>
  </si>
  <si>
    <t>MC (UTM) =&gt;</t>
  </si>
  <si>
    <t>dados de Entrada</t>
  </si>
  <si>
    <t>dados de Saída</t>
  </si>
  <si>
    <t>Fuso importado</t>
  </si>
  <si>
    <t>Meridiano conv</t>
  </si>
  <si>
    <t>Meridiano Central</t>
  </si>
  <si>
    <t>ORDEM</t>
  </si>
  <si>
    <t>ATIVIDADE ECONOMICA</t>
  </si>
  <si>
    <t>Classe/Sub</t>
  </si>
  <si>
    <t>Denom.</t>
  </si>
  <si>
    <t>500301-Extração de carvão mineral</t>
  </si>
  <si>
    <t>500302-Beneficiamento de carvão mineral</t>
  </si>
  <si>
    <t>600001-Extração de petróleo e gás natural</t>
  </si>
  <si>
    <t>600002-Extração e beneficiamento de xisto</t>
  </si>
  <si>
    <t>600003-Extração e beneficiamento de areias betuminosas</t>
  </si>
  <si>
    <t>710301-Extração de minério de ferro</t>
  </si>
  <si>
    <t>710302-Pelotização, sinterização e outros beneficiamentos de minério de ferro</t>
  </si>
  <si>
    <t>721901-Extração de minério de alumínio</t>
  </si>
  <si>
    <t>721902-Beneficiamento de minério de alumínio</t>
  </si>
  <si>
    <t>722701-Extração de minério de estanho</t>
  </si>
  <si>
    <t>722702-Beneficiamento de minério de estanho</t>
  </si>
  <si>
    <t>723501-Extração de minério de manganês</t>
  </si>
  <si>
    <t>723502-Beneficiamento de minério de manganês</t>
  </si>
  <si>
    <t>724301-Extração de minério de metais preciosos</t>
  </si>
  <si>
    <t>724302-Beneficiamento de minério de metais preciosos</t>
  </si>
  <si>
    <t>725100-Extração de minerais radioativos</t>
  </si>
  <si>
    <t>729401-Extração de minérios de nióbio e titânio</t>
  </si>
  <si>
    <t>729402-Extração de minério de tungstênio</t>
  </si>
  <si>
    <t>729403-Extração de minério de níquel</t>
  </si>
  <si>
    <t>729404-Extração de minérios de cobre, chumbo, zinco e outros minerais metálicos não-ferrosos</t>
  </si>
  <si>
    <t>729405-Beneficiamento de minérios de cobre, chumbo, zinco e outros minerais metálicos não-ferrosos</t>
  </si>
  <si>
    <t>810001-Extração de ardósia e beneficiamento associado</t>
  </si>
  <si>
    <t>810002-Extração de granito e beneficiamento associado</t>
  </si>
  <si>
    <t>810003-Extração de mármore e beneficiamento associado</t>
  </si>
  <si>
    <t>810004-Extração de calcário e dolomita e beneficiamento associado</t>
  </si>
  <si>
    <t>810005-Extração de gesso e caulim</t>
  </si>
  <si>
    <t>810006-Extração de areia, cascalho ou pedregulho e beneficiamento associado</t>
  </si>
  <si>
    <t>810007-Extração de argila e beneficiamento associado</t>
  </si>
  <si>
    <t>810008-Extração de saibro e beneficiamento associado</t>
  </si>
  <si>
    <t>810009-Extração de basalto e beneficiamento associado</t>
  </si>
  <si>
    <t>810010-Beneficiamento de gesso e caulim associado à extração</t>
  </si>
  <si>
    <t>810099-Extração e britamento de pedras e outros materiais para construção e beneficiamento associado</t>
  </si>
  <si>
    <t>891600-Extração de minerais para fabricação de adubos, fertilizantes e outros produtos químicos</t>
  </si>
  <si>
    <t>892401-Extração de sal marinho</t>
  </si>
  <si>
    <t>892402-Extração de sal-gema</t>
  </si>
  <si>
    <t>892403-Refino e outros tratamentos do sal</t>
  </si>
  <si>
    <t>893200-Extração de gemas (pedras preciosas e semipreciosas)</t>
  </si>
  <si>
    <t>899101-Extração de grafita</t>
  </si>
  <si>
    <t>899102-Extração de quartzo</t>
  </si>
  <si>
    <t>899103-Extração de amianto</t>
  </si>
  <si>
    <t>899199-Extração de outros minerais não-metálicos não especificados</t>
  </si>
  <si>
    <t>910600-Atividades de apoio à extração de petróleo e gás natural</t>
  </si>
  <si>
    <t>990401-Atividades de apoio à extração de minério de ferro</t>
  </si>
  <si>
    <t>990402-Atividades de apoio à extração de minerais metálicos não-ferrosos</t>
  </si>
  <si>
    <t>990403-Atividades de apoio à extração de minerais não-metálicos</t>
  </si>
  <si>
    <t>1011201-Frigorífico - abate de bovinos</t>
  </si>
  <si>
    <t>1011202-Frigorífico - abate de eqüinos</t>
  </si>
  <si>
    <t>1011203-Frigorífico - abate de ovinos e caprinos</t>
  </si>
  <si>
    <t>1011204-Frigorífico - abate de bufalinos</t>
  </si>
  <si>
    <t>1011205-Matadouro - abate de reses sob contrato, exceto abate de suínos</t>
  </si>
  <si>
    <t>1012101-Abate de aves</t>
  </si>
  <si>
    <t>1012102-Abate de pequenos animais</t>
  </si>
  <si>
    <t>1012103-Frigorífico - abate de suínos</t>
  </si>
  <si>
    <t>1012104-Matadouro - abate de suínos sob contrato</t>
  </si>
  <si>
    <t>1013901-Fabricação de produtos de carne</t>
  </si>
  <si>
    <t>1013902-Preparação de subprodutos do abate</t>
  </si>
  <si>
    <t>1020101-Preservação de peixes, crustáceos e moluscos</t>
  </si>
  <si>
    <t>1020102-Fabricação de conservas de peixes, crustáceos e moluscos</t>
  </si>
  <si>
    <t>1031700-Fabricação de conservas de frutas</t>
  </si>
  <si>
    <t>1032501-Fabricação de conservas de palmito</t>
  </si>
  <si>
    <t>1032599-Fabricação de conservas de legumes e outros vegetais, exceto palmito</t>
  </si>
  <si>
    <t>1033301-Fabricação de sucos concentrados de frutas, hortaliças e legumes</t>
  </si>
  <si>
    <t>1033302-Fabricação de sucos de frutas, hortaliças e legumes, exceto concentrados</t>
  </si>
  <si>
    <t>1041400-Fabricação de óleos vegetais em bruto, exceto óleo de milho</t>
  </si>
  <si>
    <t>1042200-Fabricação de óleos vegetais refinados, exceto óleo de milho</t>
  </si>
  <si>
    <t>1043100-Fabricação de margarina e outras gorduras vegetais e de óleos não-comestíveis de animais</t>
  </si>
  <si>
    <t>1051100-Preparação do leite</t>
  </si>
  <si>
    <t>1052000-Fabricação de laticínios</t>
  </si>
  <si>
    <t>1053800-Fabricação de sorvetes e outros gelados comestíveis</t>
  </si>
  <si>
    <t>1061901-Beneficiamento de arroz</t>
  </si>
  <si>
    <t>1061902-Fabricação de produtos do arroz</t>
  </si>
  <si>
    <t>1062700-Moagem de trigo e fabricação de derivados</t>
  </si>
  <si>
    <t>1063500-Fabricação de farinha de mandioca e derivados</t>
  </si>
  <si>
    <t>1064300-Fabricação de farinha de milho e derivados, exceto óleos de milho</t>
  </si>
  <si>
    <t>1065101-Fabricação de amidos e féculas de vegetais</t>
  </si>
  <si>
    <t>1065102-Fabricação de óleo de milho em bruto</t>
  </si>
  <si>
    <t>1065103-Fabricação de óleo de milho refinado</t>
  </si>
  <si>
    <t>1066000-Fabricação de alimentos para animais</t>
  </si>
  <si>
    <t>1069400-Moagem e fabricação de produtos de origem vegetal não especificados</t>
  </si>
  <si>
    <t>1071600-Fabricação de açúcar em bruto</t>
  </si>
  <si>
    <t>1072401-Fabricação de açúcar de cana refinado</t>
  </si>
  <si>
    <t>1072402-Fabricação de açúcar de cereais (dextrose) e de beterraba</t>
  </si>
  <si>
    <t>1081301-Beneficiamento de café</t>
  </si>
  <si>
    <t>1081302-Torrefação e moagem de café</t>
  </si>
  <si>
    <t>1082100-Fabricação de produtos à base de café</t>
  </si>
  <si>
    <t>1091101-Fabricação de produtos de panificação Industrial</t>
  </si>
  <si>
    <t>1091102-Fabricação de produtos de padaria e confeitaria com predominância de produção própria</t>
  </si>
  <si>
    <t>1092900-Fabricação de biscoitos e bolachas</t>
  </si>
  <si>
    <t>1093701-Fabricação de produtos derivados do cacau e de chocolates</t>
  </si>
  <si>
    <t>1093702-Fabricação de frutas cristalizadas, balas e semelhantes</t>
  </si>
  <si>
    <t>1094500-Fabricação de massas alimentícias</t>
  </si>
  <si>
    <t>1095300-Fabricação de especiarias, molhos, temperos e condimentos</t>
  </si>
  <si>
    <t>1096100-Fabricação de alimentos e pratos prontos</t>
  </si>
  <si>
    <t>1099601-Fabricação de vinagres</t>
  </si>
  <si>
    <t>1099602-Fabricação de pós alimentícios</t>
  </si>
  <si>
    <t>1099603-Fabricação de fermentos e leveduras</t>
  </si>
  <si>
    <t>1099604-Fabricação de gelo comum</t>
  </si>
  <si>
    <t>1099605-Fabricação de produtos para infusão (chá, mate, etc.)</t>
  </si>
  <si>
    <t>1099606-Fabricação de adoçantes naturais e artificiais</t>
  </si>
  <si>
    <t>1099607-Fabricação de alimentos dietéticos e complementos alimentares</t>
  </si>
  <si>
    <t>1099699-Fabricação de outros produtos alimentícios não especificados anteriormente</t>
  </si>
  <si>
    <t>1111901-Fabricação de aguardente de cana-de-açúcar</t>
  </si>
  <si>
    <t>1111902-Fabricação de outras aguardentes e bebidas destiladas</t>
  </si>
  <si>
    <t>1112700-Fabricação de vinho</t>
  </si>
  <si>
    <t>1113501-Fabricação de malte, inclusive malte uísque</t>
  </si>
  <si>
    <t>1113502-Fabricação de cervejas e chopes</t>
  </si>
  <si>
    <t>1121600-Fabricação de águas envasadas</t>
  </si>
  <si>
    <t>1122401-Fabricação de refrigerantes</t>
  </si>
  <si>
    <t>1122402-Fabricação de chá mate e outros chás prontos para consumo</t>
  </si>
  <si>
    <t>1122403-Fabricação de refrescos, xaropes e pós para refrescos, exceto refrescos de frutas</t>
  </si>
  <si>
    <t>1122404-Fabricação de bebidas isotônicas</t>
  </si>
  <si>
    <t>1122499-Fabricação de outras bebidas não-alcoólicas não especificadas</t>
  </si>
  <si>
    <t>1210700-Processamento industrial do fumo</t>
  </si>
  <si>
    <t>1220401-Fabricação de cigarros</t>
  </si>
  <si>
    <t>1220402-Fabricação de cigarrilhas e charutos</t>
  </si>
  <si>
    <t>1220403-Fabricação de filtros para cigarros</t>
  </si>
  <si>
    <t>1220499-Fabricação de outros produtos do fumo, exceto cigarros, cigarrilhas e charutos</t>
  </si>
  <si>
    <t>1311100-Preparação e fiação de fibras de algodão</t>
  </si>
  <si>
    <t>1312000-Preparação e fiação de fibras têxteis naturais, exceto algodão</t>
  </si>
  <si>
    <t>1313800-Fiação de fibras artificiais e sintéticas</t>
  </si>
  <si>
    <t>1314600-Fabricação de linhas para costurar e bordar</t>
  </si>
  <si>
    <t>1321900-Tecelagem de fios de algodão</t>
  </si>
  <si>
    <t>1322700-Tecelagem de fios de fibras têxteis naturais, exceto algodão</t>
  </si>
  <si>
    <t>1323500-Tecelagem de fios de fibras artificiais e sintéticas</t>
  </si>
  <si>
    <t>1330800-Fabricação de tecidos de malha</t>
  </si>
  <si>
    <t>1340501-Estamparia e texturização em fios, tecidos, artefatos têxteis e peças do vestuário</t>
  </si>
  <si>
    <t>1340502-Alvejamento, tingimento e torção em fios, tecidos, artefatos têxteis e peças do vestuário</t>
  </si>
  <si>
    <t>1340599-Outros serviços de acabamento em fios, tecidos, artefatos têxteis e peças do vestuário</t>
  </si>
  <si>
    <t>1351100-Fabricação de artefatos têxteis para uso doméstico</t>
  </si>
  <si>
    <t>1352900-Fabricação de artefatos de tapeçaria</t>
  </si>
  <si>
    <t>1353700-Fabricação de artefatos de cordoaria</t>
  </si>
  <si>
    <t>1354500-Fabricação de tecidos especiais, inclusive artefatos</t>
  </si>
  <si>
    <t>1359600-Fabricação de outros produtos têxteis não especificados</t>
  </si>
  <si>
    <t>1411801-Confecção de roupas íntimas</t>
  </si>
  <si>
    <t>1411802-Facção de roupas íntimas</t>
  </si>
  <si>
    <t>1412601-Confecção de peças do vestuário, exceto roupas íntimas e as confeccionadas sob medida</t>
  </si>
  <si>
    <t>1412602-Confecção, sob medida, de peças do vestuário, exceto roupas íntimas</t>
  </si>
  <si>
    <t>1412603-Facção de peças do vestuário, exceto roupas íntimas</t>
  </si>
  <si>
    <t>1413401-Confecção de roupas profissionais, exceto sob medida</t>
  </si>
  <si>
    <t>1413402-Confecção, sob medida, de roupas profissionais</t>
  </si>
  <si>
    <t>1413403-Facção de roupas profissionais</t>
  </si>
  <si>
    <t>1414200-Fabricação de acessórios do vestuário, exceto para segurança e proteção</t>
  </si>
  <si>
    <t>1421500-Fabricação de meias</t>
  </si>
  <si>
    <t>1422300-Fabricação de artigos do vestuário, produzidos em malharias e tricotagens, exceto meias</t>
  </si>
  <si>
    <t>1510600-Curtimento e outras preparações de couro</t>
  </si>
  <si>
    <t>1521100-Fabricação de artigos para viagem, bolsas e semelhantes de qualquer material</t>
  </si>
  <si>
    <t>1529700-Fabricação de artefatos de couro não especificados</t>
  </si>
  <si>
    <t>1531901-Fabricação de calçados de couro</t>
  </si>
  <si>
    <t>1531902-Acabamento de calçados de couro sob contrato</t>
  </si>
  <si>
    <t>1532700-Fabricação de tênis de qualquer material</t>
  </si>
  <si>
    <t>1533500-Fabricação de calçados de material sintético</t>
  </si>
  <si>
    <t>1539400-Fabricação de calçados de materiais não especificados</t>
  </si>
  <si>
    <t>1540800-Fabricação de partes para calçados, de qualquer material</t>
  </si>
  <si>
    <t>1610203-Serrarias com desdobramento de madeira em bruto</t>
  </si>
  <si>
    <t>1610204-Serrarias sem desdobramento de madeira em bruto - resserragem</t>
  </si>
  <si>
    <t>1610205-Serviço de tratamento de madeira realizado sob contrato</t>
  </si>
  <si>
    <t>1621800-Fabricação de madeira laminada e de chapas de madeira compensada, prensada e aglomerada</t>
  </si>
  <si>
    <t>1622601-Fabricação de casas de madeira pré-fabricadas</t>
  </si>
  <si>
    <t>1622602-Fabricação de esquadrias de madeira e de peças de madeira para instalações industriais e comerciais</t>
  </si>
  <si>
    <t>1622699-Fabricação de outros artigos de carpintaria para construção</t>
  </si>
  <si>
    <t>1623400-Fabricação de artefatos de tanoaria e de embalagens de madeira</t>
  </si>
  <si>
    <t>1629301-Fabricação de artefatos diversos de madeira, exceto móveis</t>
  </si>
  <si>
    <t>1629302-Fabricação de artefatos de cortiça, bambu, palha, vime e outros materiais trançados, exceto móveis</t>
  </si>
  <si>
    <t>1710900-Fabricação de celulose e outras pastas para a fabricação de papel</t>
  </si>
  <si>
    <t>1721400-Fabricação de papel</t>
  </si>
  <si>
    <t>1722200-Fabricação de cartolina e papel-cartão</t>
  </si>
  <si>
    <t>1731100-Fabricação de embalagens de papel</t>
  </si>
  <si>
    <t>1732000-Fabricação de embalagens de cartolina e papel-cartão</t>
  </si>
  <si>
    <t>1733800-Fabricação de chapas e de embalagens de papelão ondulado</t>
  </si>
  <si>
    <t>1741901-Fabricação de formulários contínuos</t>
  </si>
  <si>
    <t>1741902-Fabricação de produtos de papel, cartolina e papelão ondulado para uso comercial e de escritório</t>
  </si>
  <si>
    <t>1742701-Fabricação de fraldas descartáveis</t>
  </si>
  <si>
    <t>1742702-Fabricação de absorventes higiênicos</t>
  </si>
  <si>
    <t>1742799-Fabricação de produtos de papel para uso doméstico e higiênico-sanitário não especificados</t>
  </si>
  <si>
    <t>1749400-Fabricação de produtos de pastas celulósicas, papel, cartolina e papelão ondulado não especificados</t>
  </si>
  <si>
    <t>1811301-Impressão de jornais</t>
  </si>
  <si>
    <t>1811302-Impressão de livros, revistas e outras publicações periódicas</t>
  </si>
  <si>
    <t>1812100-Impressão de material de segurança</t>
  </si>
  <si>
    <t>1813001-Impressão de material para uso publicitário</t>
  </si>
  <si>
    <t>1813099-Impressão de material para outros usos</t>
  </si>
  <si>
    <t>1821100-Serviços de pré-impressão</t>
  </si>
  <si>
    <t>1822901-Serviços de encadernação e plastificação</t>
  </si>
  <si>
    <t>1822999-Serviços de acabamentos gráficos, exceto encadernação e plastificação</t>
  </si>
  <si>
    <t>1830001-Reprodução de som em qualquer suporte</t>
  </si>
  <si>
    <t>1830002-Reprodução de vídeo em qualquer suporte</t>
  </si>
  <si>
    <t>1830003-Reprodução de software em qualquer suporte</t>
  </si>
  <si>
    <t>1910100-Coquerias</t>
  </si>
  <si>
    <t>1921700-Fabricação de produtos do refino de petróleo</t>
  </si>
  <si>
    <t>1922501-Formulação de combustíveis</t>
  </si>
  <si>
    <t>1922502-Rerrefino de óleos lubrificantes</t>
  </si>
  <si>
    <t>1922599-Fabricação de outros produtos derivados do petróleo, exceto produtos do refino</t>
  </si>
  <si>
    <t>1931400-Fabricação de álcool</t>
  </si>
  <si>
    <t>1932200-Fabricação de biocombustíveis, exceto álcool</t>
  </si>
  <si>
    <t>2011800-Fabricação de cloro e álcalis</t>
  </si>
  <si>
    <t>2012600-Fabricação de intermediários para fertilizantes</t>
  </si>
  <si>
    <t>2013401-FABRICAÇÃO DE PRODUTOS QUÍMICOS</t>
  </si>
  <si>
    <t>2013402-Fabricação de adubos e fertilizantes, exceto organo-minerais</t>
  </si>
  <si>
    <t>2014200-Fabricação de gases industriais</t>
  </si>
  <si>
    <t>2019301-Elaboração de combustíveis nucleares</t>
  </si>
  <si>
    <t>2019399-Fabricação de outros produtos químicos inorgânicos não especificados</t>
  </si>
  <si>
    <t>2021500-Fabricação de produtos petroquímicos básicos</t>
  </si>
  <si>
    <t>2022300-Fabricação de intermediários para plastificantes, resinas e fibras</t>
  </si>
  <si>
    <t>2029100-Fabricação de produtos químicos orgânicos não especificados</t>
  </si>
  <si>
    <t>2031200-Fabricação de resinas termoplásticas</t>
  </si>
  <si>
    <t>2032100-Fabricação de resinas termofixas</t>
  </si>
  <si>
    <t>2033900-Fabricação de elastômeros</t>
  </si>
  <si>
    <t>2040100-Fabricação de fibras artificiais e sintéticas</t>
  </si>
  <si>
    <t>2051700-Fabricação de defensivos agrícolas</t>
  </si>
  <si>
    <t>2052500-Fabricação de desinfestantes domissanitários</t>
  </si>
  <si>
    <t>2061400-Fabricação de sabões e detergentes sintéticos</t>
  </si>
  <si>
    <t>2062200-Fabricação de produtos de limpeza e polimento</t>
  </si>
  <si>
    <t>2063100-Fabricação de cosméticos, produtos de perfumaria e de higiene pessoal</t>
  </si>
  <si>
    <t>2071100-Fabricação de tintas, vernizes, esmaltes e lacas</t>
  </si>
  <si>
    <t>2072000-Fabricação de tintas de impressão</t>
  </si>
  <si>
    <t>2073800-Fabricação de impermeabilizantes, solventes e produtos afins</t>
  </si>
  <si>
    <t>2091600-Fabricação de adesivos e selantes</t>
  </si>
  <si>
    <t>2092401-Fabricação de pólvoras, explosivos e detonantes</t>
  </si>
  <si>
    <t>2092402-Fabricação de artigos pirotécnicos</t>
  </si>
  <si>
    <t>2092403-Fabricação de fósforos de segurança</t>
  </si>
  <si>
    <t>2093200-Fabricação de aditivos de uso industrial</t>
  </si>
  <si>
    <t>2094100-Fabricação de catalisadores</t>
  </si>
  <si>
    <t>2099101-Fabricação de chapas, filmes, papéis e outros materiais e produtos químicos para fotografia</t>
  </si>
  <si>
    <t>2099199-Fabricação de outros produtos químicos não especificados</t>
  </si>
  <si>
    <t>2110600-Fabricação de produtos farmoquímicos</t>
  </si>
  <si>
    <t>2121101-Fabricação de medicamentos alopáticos para uso humano</t>
  </si>
  <si>
    <t>2121102-Fabricação de medicamentos homeopáticos para uso humano</t>
  </si>
  <si>
    <t>2121103-Fabricação de medicamentos fitoterápicos para uso humano</t>
  </si>
  <si>
    <t>2122000-Fabricação de medicamentos para uso veterinário</t>
  </si>
  <si>
    <t>2123800-Fabricação de preparações farmacêuticas</t>
  </si>
  <si>
    <t>2211100-Fabricação de pneumáticos e de câmaras-de-ar</t>
  </si>
  <si>
    <t>2212900-Reforma de pneumáticos usados</t>
  </si>
  <si>
    <t>2219600-Fabricação de artefatos de borracha não especificados</t>
  </si>
  <si>
    <t>2221800-Fabricação de laminados planos e tubulares de material plástico</t>
  </si>
  <si>
    <t>2222600-Fabricação de embalagens de material plástico</t>
  </si>
  <si>
    <t>2223400-Fabricação de tubos e acessórios de material plástico para uso na construção</t>
  </si>
  <si>
    <t>2229301-Fabricação de artefatos de material plástico para uso pessoal e doméstico</t>
  </si>
  <si>
    <t>2229302-Fabricação de artefatos de material plástico para usos industriais</t>
  </si>
  <si>
    <t>2229303-Fabricação de artefatos de material plástico para uso na construção, exceto tubos e acessórios</t>
  </si>
  <si>
    <t>2229399-Fabricação de artefatos de material plástico para outros usos não especificados</t>
  </si>
  <si>
    <t>2311700-Fabricação de vidro plano e de segurança</t>
  </si>
  <si>
    <t>2312500-Fabricação de embalagens de vidro</t>
  </si>
  <si>
    <t>2319200-Fabricação de artigos de vidro</t>
  </si>
  <si>
    <t>2320600-Fabricação de cimento</t>
  </si>
  <si>
    <t>2330301-Fabricação de estruturas pré-moldadas de concreto armado</t>
  </si>
  <si>
    <t>2330302-Fabricação de artefatos de cimento para uso na construção</t>
  </si>
  <si>
    <t>2330303-Fabricação de artefatos de fibrocimento para uso na construção</t>
  </si>
  <si>
    <t>2330304-Fabricação de casas pré-moldadas de concreto</t>
  </si>
  <si>
    <t>2330305-Preparação de massa de concreto e argamassa para construção</t>
  </si>
  <si>
    <t>2330399-Fabricação de artefatos e produtos de concreto, cimento, fibrocimento, gesso e materiais semelhantes</t>
  </si>
  <si>
    <t>2341900-Fabricação de produtos cerâmicos refratários</t>
  </si>
  <si>
    <t>2342701-Fabricação de azulejos e pisos</t>
  </si>
  <si>
    <t>2342702-Fabricação de artefatos de cerâmica e barro cozido para uso na construção, exceto azulejos e pisos</t>
  </si>
  <si>
    <t>2349401-Fabricação de material sanitário de cerâmica</t>
  </si>
  <si>
    <t>2349499-Fabricação de produtos cerâmicos não-refratários não especificados</t>
  </si>
  <si>
    <t>2391501-Britamento de pedras, exceto associado à extração</t>
  </si>
  <si>
    <t>2391502-Aparelhamento de pedras para construção, exceto associado à extração</t>
  </si>
  <si>
    <t>2391503-Aparelhamento de placas e execução de trabalhos em mármore, granito, ardósia e outras pedras</t>
  </si>
  <si>
    <t>2392300-Fabricação de cal e gesso</t>
  </si>
  <si>
    <t>2399101-Decoração, lapidação, gravação, vitrificação e outros trabalhos em cerâmica, louça, vidro e cristal</t>
  </si>
  <si>
    <t>2399102-Fabricação de abrasivos</t>
  </si>
  <si>
    <t>2399199-Fabricação de outros produtos de minerais não-metálicos não especificados</t>
  </si>
  <si>
    <t>2411300-Produção de ferro-gusa</t>
  </si>
  <si>
    <t>2412100-Produção de ferroligas</t>
  </si>
  <si>
    <t>2421100-Produção de semi-acabados de aço</t>
  </si>
  <si>
    <t>2422901-Produção de laminados planos de aço ao carbono, revestidos ou não</t>
  </si>
  <si>
    <t>2422902-Produção de laminados planos de aços especiais</t>
  </si>
  <si>
    <t>2423701-Produção de tubos de aço sem costura</t>
  </si>
  <si>
    <t>2423702-Produção de laminados longos de aço, exceto tubos</t>
  </si>
  <si>
    <t>2424501-Produção de arames de aço</t>
  </si>
  <si>
    <t>2424502-Produção de relaminados, trefilados e perfilados de aço, exceto arames</t>
  </si>
  <si>
    <t>2431800-Produção de tubos de aço com costura</t>
  </si>
  <si>
    <t>2439300-Produção de outros tubos de ferro e aço</t>
  </si>
  <si>
    <t>2441501-Produção de alumínio e suas ligas em formas primárias</t>
  </si>
  <si>
    <t>2441502-Produção de laminados de alumínio</t>
  </si>
  <si>
    <t>2442300-Metalurgia dos metais preciosos</t>
  </si>
  <si>
    <t>2443100-Metalurgia do cobre</t>
  </si>
  <si>
    <t>2449101-Produção de zinco em formas primárias</t>
  </si>
  <si>
    <t>2449102-Produção de laminados de zinco</t>
  </si>
  <si>
    <t>2449103-Produção de soldas e ânodos para galvanoplastia</t>
  </si>
  <si>
    <t>2449199-Metalurgia de outros metais não-ferrosos e suas ligas não especificados anteriormente</t>
  </si>
  <si>
    <t>2451200-Fundição de ferro e aço</t>
  </si>
  <si>
    <t>2452100-Fundição de metais não-ferrosos e suas ligas</t>
  </si>
  <si>
    <t>2511000-Fabricação de estruturas metálicas</t>
  </si>
  <si>
    <t>2512800-Fabricação de esquadrias de metal</t>
  </si>
  <si>
    <t>2513600-Fabricação de obras de caldeiraria pesada</t>
  </si>
  <si>
    <t>2521700-Fabricação de tanques, reservatórios metálicos e caldeiras para aquecimento central</t>
  </si>
  <si>
    <t>2522500-Fabricação de caldeiras geradoras de vapor, exceto para aquecimento central e para veículos</t>
  </si>
  <si>
    <t>2531401-Produção de forjados de aço</t>
  </si>
  <si>
    <t>2531402-Produção de forjados de metais não-ferrosos e suas ligas</t>
  </si>
  <si>
    <t>2532201-Produção de artefatos estampados de metal</t>
  </si>
  <si>
    <t>2532202-Metalurgia do pó</t>
  </si>
  <si>
    <t>2539001-Serviços de usinagem, tornearia e solda</t>
  </si>
  <si>
    <t>2539002-Serviços de tratamento e revestimento em metais</t>
  </si>
  <si>
    <t>2541100-Fabricação de artigos de cutelaria</t>
  </si>
  <si>
    <t>2542000-Fabricação de artigos de serralheria, exceto esquadrias</t>
  </si>
  <si>
    <t>2543800-Fabricação de ferramentas</t>
  </si>
  <si>
    <t>2550101-Fabricação de equipamento bélico pesado, exceto veículos militares de combate</t>
  </si>
  <si>
    <t>2550102-Fabricação de armas de fogo e munições</t>
  </si>
  <si>
    <t>2591800-Fabricação de embalagens metálicas</t>
  </si>
  <si>
    <t>2592601-Fabricação de produtos de trefilados de metal padronizados</t>
  </si>
  <si>
    <t>2592602-Fabricação de produtos de trefilados de metal, exceto padronizados</t>
  </si>
  <si>
    <t>2593400-Fabricação de artigos de metal para uso doméstico e pessoal</t>
  </si>
  <si>
    <t>2599301-Serviços de confecção de armações metálicas para a construção</t>
  </si>
  <si>
    <t>2599302-Serviço de corte e dobra de metais</t>
  </si>
  <si>
    <t>2599399-Fabricação de outros produtos de metal não especificados</t>
  </si>
  <si>
    <t>2610800-Fabricação de componentes eletrônicos</t>
  </si>
  <si>
    <t>2621300-Fabricação de equipamentos de informática</t>
  </si>
  <si>
    <t>2622100-Fabricação de periféricos para equipamentos de informática</t>
  </si>
  <si>
    <t>2631100-Fabricação de equipamentos transmissores de comunicação, peças e acessórios</t>
  </si>
  <si>
    <t>2632900-Fabricação de aparelhos telefônicos e de outros equipamentos de comunicação, peças e acessórios</t>
  </si>
  <si>
    <t>2640000- Fabricação de aparelhos de recepção, reprodução, gravação e amplificação de áudio e video</t>
  </si>
  <si>
    <t>2651500-Fabricação de aparelhos e equipamentos de medida, teste e controle</t>
  </si>
  <si>
    <t>2652300-Fabricação de cronômetros e relógios</t>
  </si>
  <si>
    <t>2660400-Fabricação de aparelhos eletromédicos e eletroterapêuticos e equipamentos de irradiação</t>
  </si>
  <si>
    <t>2670101-Fabricação de equipamentos e instrumentos ópticos, peças e acessórios</t>
  </si>
  <si>
    <t>2670102-Fabricação de aparelhos fotográficos e cinematográficos, peças e acessórios</t>
  </si>
  <si>
    <t>2680900-Fabricação de mídias virgens, magnéticas e ópticas</t>
  </si>
  <si>
    <t>2710401-Fabricação de geradores de corrente contínua e alternada, peças e acessórios</t>
  </si>
  <si>
    <t>2710402-Fabricação de transformadores, indutores, conversores, sincronizadores , peças e acessórios</t>
  </si>
  <si>
    <t>2710403-Fabricação de motores elétricos, peças e acessórios</t>
  </si>
  <si>
    <t>2721000-Fabricação de pilhas, baterias e acumuladores elétricos, exceto para veículos automotores</t>
  </si>
  <si>
    <t>2722801-Fabricação de baterias e acumuladores para veículos automotores</t>
  </si>
  <si>
    <t>2722802-Recondicionamento de baterias e acumuladores para veículos automotores</t>
  </si>
  <si>
    <t>2731700-Fabricação de aparelhos e equipamentos para distribuição e controle de energia elétrica</t>
  </si>
  <si>
    <t>2732500-Fabricação de material elétrico para instalações em circuito de consumo</t>
  </si>
  <si>
    <t>2733300-Fabricação de fios, cabos e condutores elétricos isolados</t>
  </si>
  <si>
    <t>2740601-Fabricação de lâmpadas</t>
  </si>
  <si>
    <t>2740602-Fabricação de luminárias e outros equipamentos de iluminação</t>
  </si>
  <si>
    <t>2751100-Fabricação de fogões, refrigeradores,máquinas de lavar e secar para uso doméstico, peças/acessórios</t>
  </si>
  <si>
    <t>2759701-Fabricação de aparelhos elétricos de uso pessoal, peças e acessórios</t>
  </si>
  <si>
    <t>2759799-Fabricação de outros aparelhos eletrodomésticos não especificados, peças e acessórios</t>
  </si>
  <si>
    <t>2790201-Fabricação de eletrodos, contatos e outros artigos de carvão e grafita para uso elétrico</t>
  </si>
  <si>
    <t>2790202-Fabricação de equipamentos para sinalização e alarme</t>
  </si>
  <si>
    <t>2790299-Fabricação de outros equipamentos e aparelhos elétricos não especificados</t>
  </si>
  <si>
    <t>2811900-Fabricação de motores e turbinas, peças e acessórios, exceto para aviões e veículos rodoviários</t>
  </si>
  <si>
    <t>2812700-Fabricação de equipamentos hidráulicos e pneumáticos, peças e acessórios, exceto valvulas</t>
  </si>
  <si>
    <t>2813500-Fabricação de válvulas, registros e dispositivos semelhantes, peças e acessórios</t>
  </si>
  <si>
    <t>2814301-Fabricação de compressores para uso industrial, peças e acessórios</t>
  </si>
  <si>
    <t>2814302-Fabricação de compressores para uso não-industrial, peças e acessórios</t>
  </si>
  <si>
    <t>2815101-Fabricação de rolamentos para fins industriais</t>
  </si>
  <si>
    <t>2815102-Fabricação de equipamentos de transmissão para fins industriais, exceto rolamentos</t>
  </si>
  <si>
    <t>2821601-Fabricação de fornos industriais, aparelhos e equipamentos não-elétricos para instalações térmicas</t>
  </si>
  <si>
    <t>2821602-Fabricação de estufas e fornos elétricos para fins industriais, peças e acessórios</t>
  </si>
  <si>
    <t>2822401-Fabricação de máquinas, equipamentos e aparelhos para transporte e elevação de pessoas</t>
  </si>
  <si>
    <t>2822402-Fabricação de máquinas, equipamentos e aparelhos para transporte e elevação de cargas</t>
  </si>
  <si>
    <t>2823200-Fabricação de máquinas e aparelhos de refrigeração e ventilação para uso industrial e comercial</t>
  </si>
  <si>
    <t>2824101-Fabricação de aparelhos e equipamentos de ar condicionado para uso industrial</t>
  </si>
  <si>
    <t>2824102-Fabricação de aparelhos e equipamentos de ar condicionado para uso não-industrial</t>
  </si>
  <si>
    <t>2825900-Fabricação de máquinas e equipamentos para saneamento básico e ambiental, peças e acessórios</t>
  </si>
  <si>
    <t>2829101-Fabricação de máquinas  e equipamentos não-eletrônicos para escritório, peças e acessórios</t>
  </si>
  <si>
    <t>2829199-Fabricação de outras máquinas e equipamentos de uso geral não especificados anteriormente, peças e a</t>
  </si>
  <si>
    <t>2831300-Fabricação de tratores agrícolas, peças e acessórios</t>
  </si>
  <si>
    <t>2832100-Fabricação de equipamentos para irrigação agrícola, peças e acessórios</t>
  </si>
  <si>
    <t>2833000-Fabricação de máquinas e equipamentos para a agropecuária, peças e acessórios, exceto para irrigação</t>
  </si>
  <si>
    <t>2840200-Fabricação de máquinas-ferramenta, peças e acessórios</t>
  </si>
  <si>
    <t>2851800-Fabricação de máquinas e equipamentos para a prospecção e extração de petróleo, peças e acessórios</t>
  </si>
  <si>
    <t>2852600-Fabricação de máquinas e equipamentos de uso na extração mineral, exceto na extração de petróleo</t>
  </si>
  <si>
    <t>2853400-Fabricação de tratores, peças e acessórios, exceto agrícolas</t>
  </si>
  <si>
    <t>2854200-Fabricação de máquinas e equipamentos p/ terraplenagem, pavimentação e construção,exceto tratores</t>
  </si>
  <si>
    <t>2861500-Fabricação de máquinas para a indústria metalúrgica, peças e acessórios</t>
  </si>
  <si>
    <t>2862300-Fabricação máquinas, equipamentos para indústrias de alimentos, bebidas e fumo, peças e acessórios</t>
  </si>
  <si>
    <t>2863100-Fabricação de máquinas e equipamentos para a indústria têxtil, peças e acessórios</t>
  </si>
  <si>
    <t>2864000-Fabricação de máquinas e equipamentos para as indústrias do vestuário, do couro e de calçados</t>
  </si>
  <si>
    <t>2865800-Fabricação de máquinas e equipamentos para as indústrias de celulose, papel e papelão e artefatos.</t>
  </si>
  <si>
    <t>2866600-Fabricação de máquinas e equipamentos para a indústria do plástico, peças e acessórios</t>
  </si>
  <si>
    <t>2869100-Fabricação de máquinas e equipamentos para uso industrial específico, peças e acessórios</t>
  </si>
  <si>
    <t>2910701-Fabricação de automóveis, camionetas e utilitários</t>
  </si>
  <si>
    <t>2910702-Fabricação de chassis com motor para automóveis, camionetas e utilitários</t>
  </si>
  <si>
    <t>2910703-Fabricação de motores para automóveis, camionetas e utilitários</t>
  </si>
  <si>
    <t>2920401-Fabricação de caminhões e ônibus</t>
  </si>
  <si>
    <t>2920402-Fabricação de motores para caminhões e ônibus</t>
  </si>
  <si>
    <t>2930101-Fabricação de cabines, carrocerias e reboques para caminhões</t>
  </si>
  <si>
    <t>2930102-Fabricação de carrocerias para ônibus</t>
  </si>
  <si>
    <t>2930103-Fabricação de cabines, carrocerias e reboques para veículos automotores, exceto caminhões e ônibus</t>
  </si>
  <si>
    <t>2941700-Fabricação de peças e acessórios para o sistema motor de veículos automotores</t>
  </si>
  <si>
    <t>2942500-Fabricação de peças e acessórios para os sistemas de marcha e transmissão de veículos automotores</t>
  </si>
  <si>
    <t>2943300-Fabricação de peças e acessórios para o sistema de freios de veículos automotores</t>
  </si>
  <si>
    <t>2944100-Fabricação de peças e acessórios para o sistema de direção e suspensão de veículos automotores</t>
  </si>
  <si>
    <t>2945000-Fabricação de material elétrico e eletrônico para veículos automotores, exceto baterias</t>
  </si>
  <si>
    <t>2949201-Fabricação de bancos e estofados para veículos automotores</t>
  </si>
  <si>
    <t>2949299-Fabricação de outras peças e acessórios para veículos automotores não especificadas</t>
  </si>
  <si>
    <t>2950600-Recondicionamento e recuperação de motores para veículos automotores</t>
  </si>
  <si>
    <t>3011301-Construção de embarcações de grande porte</t>
  </si>
  <si>
    <t>3011302-Construção de embarcações para uso comercial e para usos especiais, exceto de grande porte</t>
  </si>
  <si>
    <t>3012100-Construção de embarcações para esporte e lazer</t>
  </si>
  <si>
    <t>3031800-Fabricação de locomotivas, vagões e outros materiais rodantes</t>
  </si>
  <si>
    <t>3032600-Fabricação de peças e acessórios para veículos ferroviários</t>
  </si>
  <si>
    <t>3041500-Fabricação de aeronaves</t>
  </si>
  <si>
    <t>3042300-Fabricação de turbinas, motores e outros componentes e peças para aeronaves</t>
  </si>
  <si>
    <t>3050400-Fabricação de veículos militares de combate</t>
  </si>
  <si>
    <t>3091101-Fabricação de motocicletas</t>
  </si>
  <si>
    <t>3091102-Fabricação de peças e acessórios para motocicletas</t>
  </si>
  <si>
    <t>3092000-Fabricação de bicicletas e triciclos não-motorizados, peças e acessórios</t>
  </si>
  <si>
    <t>3099700-Fabricação de equipamentos de transporte não especificados</t>
  </si>
  <si>
    <t>3101200-Fabricação de móveis com predominância de madeira</t>
  </si>
  <si>
    <t>3102100-Fabricação de móveis com predominância de metal</t>
  </si>
  <si>
    <t>3103900-Fabricação de móveis de outros materiais, exceto madeira e metal</t>
  </si>
  <si>
    <t>3104700-Fabricação de colchões</t>
  </si>
  <si>
    <t>3211601-Lapidação de gemas</t>
  </si>
  <si>
    <t>3211602-Fabricação de artefatos de joalheria e ourivesaria</t>
  </si>
  <si>
    <t>3211603-Cunhagem de moedas e medalhas</t>
  </si>
  <si>
    <t>3212400-Fabricação de bijuterias e artefatos semelhantes</t>
  </si>
  <si>
    <t>3220500-Fabricação de instrumentos musicais, peças e acessórios</t>
  </si>
  <si>
    <t>3230200-Fabricação de artefatos para pesca e esporte</t>
  </si>
  <si>
    <t>3240001-Fabricação de jogos eletrônicos</t>
  </si>
  <si>
    <t>3240002-Fabricação de mesas de bilhar, de sinuca e acessórios não associada à locação</t>
  </si>
  <si>
    <t>3240003-Fabricação de mesas de bilhar, de sinuca e acessórios associada à locação</t>
  </si>
  <si>
    <t>3240099-Fabricação de outros brinquedos e jogos recreativos não especificados</t>
  </si>
  <si>
    <t>3250701-Fabricação instrumentos não-eletrônicos e utens. de uso médico, cirúrgico, odonto. e de laboratório</t>
  </si>
  <si>
    <t>3250702-Fabricação de mobiliário para uso médico, cirúrgico, odontológico e de laboratório</t>
  </si>
  <si>
    <t>3250703-Fabricação de aparelhos e utensílios para correção de defeitos físicos e aparelhos ortopédicos em ge</t>
  </si>
  <si>
    <t>3250704-Fabricação de aparelhos e utensílios para correção de defeitos físicos e aparelhos ortopédicos</t>
  </si>
  <si>
    <t>3250705-Fabricação de materiais para medicina e odontologia</t>
  </si>
  <si>
    <t>3250706-Serviços de prótese dentária</t>
  </si>
  <si>
    <t>3250707-Fabricação de artigos ópticos</t>
  </si>
  <si>
    <t>3250709-Serviço de laboratório óptico</t>
  </si>
  <si>
    <t>3291400-Fabricação de escovas, pincéis e vassouras</t>
  </si>
  <si>
    <t>3292201-Fabricação de roupas de proteção e segurança e resistentes a fogo</t>
  </si>
  <si>
    <t>3292202-Fabricação de equipamentos e acessórios para segurança pessoal e profissional</t>
  </si>
  <si>
    <t>3299001-Fabricação de guarda-chuvas e similares</t>
  </si>
  <si>
    <t>3299002-Fabricação de canetas, lápis e outros artigos para escritório</t>
  </si>
  <si>
    <t>3299003-Fabricação de letras, letreiros e placas de qualquer material, exceto luminosos</t>
  </si>
  <si>
    <t>3299004-Fabricação de painéis e letreiros luminosos</t>
  </si>
  <si>
    <t>3299005-Fabricação de aviamentos para costura</t>
  </si>
  <si>
    <t>3299006-Fabricação de velas, inclusive decorativas</t>
  </si>
  <si>
    <t>3299099-Fabricação de produtos diversos não especificados</t>
  </si>
  <si>
    <t>3311200-Manutenção e reparação de tanques, reservatórios metálicos e caldeiras, exceto para veículos</t>
  </si>
  <si>
    <t>3312102-Manutenção e reparação de aparelhos e instrumentos de medida, teste e controle</t>
  </si>
  <si>
    <t>3312103-Manutenção e reparação de aparelhos eletromédicos e eletroterapêuticos e equipamentos de irradiação</t>
  </si>
  <si>
    <t>3312104-Manutenção e reparação de equipamentos e instrumentos ópticos</t>
  </si>
  <si>
    <t>3313901-Manutenção e reparação de geradores, transformadores e motores elétricos</t>
  </si>
  <si>
    <t>3313902-Manutenção e reparação de baterias e acumuladores elétricos, exceto para veículos</t>
  </si>
  <si>
    <t>3313999-Manutenção e reparação de máquinas, aparelhos e materiais elétricos não especificados</t>
  </si>
  <si>
    <t>3314701-Manutenção e reparação de máquinas motrizes não-elétricas</t>
  </si>
  <si>
    <t>3314702-Manutenção e reparação de equipamentos hidráulicos e pneumáticos, exceto válvulas</t>
  </si>
  <si>
    <t>3314703-Manutenção e reparação de válvulas industriais</t>
  </si>
  <si>
    <t>3314704-Manutenção e reparação de compressores</t>
  </si>
  <si>
    <t>3314705-Manutenção e reparação de equipamentos de transmissão para fins industriais</t>
  </si>
  <si>
    <t>3314706-Manutenção e reparação de máquinas, aparelhos e equipamentos para instalações térmicas</t>
  </si>
  <si>
    <t>3314707-Manutenção / reparação de máquinas e aparelhos de refrigeração e ventilação</t>
  </si>
  <si>
    <t>3314708-Manutenção e reparação de máquinas, equipamentos e aparelhos para transporte e elevação de cargas</t>
  </si>
  <si>
    <t>3314709-Manutenção e reparação de máquinas e equipamentos não-eletrônicos para escritório</t>
  </si>
  <si>
    <t>3314710-Manutenção e reparação de máquinas e equipamentos para uso geral não especificados</t>
  </si>
  <si>
    <t>3314711-Manutenção e reparação de máquinas e equipamentos para agricultura e pecuária</t>
  </si>
  <si>
    <t>3314712-Manutenção e reparação de tratores agrícolas</t>
  </si>
  <si>
    <t>3314713-Manutenção e reparação de máquinas-ferramenta</t>
  </si>
  <si>
    <t>3314714-Manutenção e reparação de máquinas e equipamentos para a prospecção e extração de petróleo</t>
  </si>
  <si>
    <t>3314715-Manutenção e reparação de máquinas e equipamentos para uso na extração mineral</t>
  </si>
  <si>
    <t>3314716-Manutenção e reparação de tratores, exceto agrícolas</t>
  </si>
  <si>
    <t>3314717-Manutenção e reparação de máquinas e equipamentos de terraplenagem, pavimentação e construção</t>
  </si>
  <si>
    <t>3314718-Manutenção e reparação de máquinas para a indústria metalúrgica, exceto máquinas-ferramenta</t>
  </si>
  <si>
    <t>3314719-Manutenção e reparação de máquinas e equipamentos para as indústrias de alimentos, bebidas e fumo</t>
  </si>
  <si>
    <t>3314720-Manutenção e reparação de máquinas e equipamentos para a indústria têxtil, do vestuário</t>
  </si>
  <si>
    <t>3314721-Manutenção e reparação de máquinas e aparelhos para a indústria de celulose e papel</t>
  </si>
  <si>
    <t>3314722-Manutenção e reparação de máquinas e aparelhos para a indústria do plástico</t>
  </si>
  <si>
    <t>3314799-Manutenção e reparação de outras máquinas e equipamentos para usos industriais não especificados</t>
  </si>
  <si>
    <t>3315500-Manutenção e reparação de veículos ferroviários</t>
  </si>
  <si>
    <t>3316301-Manutenção e reparação de aeronaves, exceto a manutenção na pista</t>
  </si>
  <si>
    <t>3316302-Manutenção de aeronaves na pista</t>
  </si>
  <si>
    <t>3317101-Manutenção e reparação de embarcações e estruturas flutuantes</t>
  </si>
  <si>
    <t>3317102-Manutenção e reparação de embarcações para esporte e lazer</t>
  </si>
  <si>
    <t>3319800-Manutenção e reparação de equipamentos e produtos não especificados</t>
  </si>
  <si>
    <t>3321000-Instalação de máquinas e equipamentos industriais</t>
  </si>
  <si>
    <t>3329501-Serviços de montagem de móveis de qualquer material</t>
  </si>
  <si>
    <t>3329599-Instalação de outros equipamentos não especificados anteriormente</t>
  </si>
  <si>
    <t>Denominação</t>
  </si>
  <si>
    <t>Classe GD</t>
  </si>
  <si>
    <t>1-Residencial</t>
  </si>
  <si>
    <t>1061</t>
  </si>
  <si>
    <t>GD - Residencial</t>
  </si>
  <si>
    <t>2-Res Baixa Renda</t>
  </si>
  <si>
    <t>1062</t>
  </si>
  <si>
    <t>GD - Res Baixa Renda</t>
  </si>
  <si>
    <t>3-Res Baixa Renda Indígena</t>
  </si>
  <si>
    <t>1063</t>
  </si>
  <si>
    <t>GD - Res Baixa Renda Indígena</t>
  </si>
  <si>
    <t>4-Res Baixa Renda Quilombola</t>
  </si>
  <si>
    <t>1064</t>
  </si>
  <si>
    <t>GD - Res Baixa Renda Quilombol</t>
  </si>
  <si>
    <t>5-Res Baixa Renda BPC</t>
  </si>
  <si>
    <t>1065</t>
  </si>
  <si>
    <t>GD - Res Baixa Renda BPC</t>
  </si>
  <si>
    <t>6-Res Fotovoltáico</t>
  </si>
  <si>
    <t>N/A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</si>
  <si>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</si>
  <si>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</si>
  <si>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</si>
  <si>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</si>
  <si>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</si>
  <si>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2061</t>
  </si>
  <si>
    <t>GD - Industrial</t>
  </si>
  <si>
    <t>12-Comercial</t>
  </si>
  <si>
    <t>3060</t>
  </si>
  <si>
    <t>GD - Comercial</t>
  </si>
  <si>
    <t>13-Serviços de Transporte</t>
  </si>
  <si>
    <t>3062</t>
  </si>
  <si>
    <t>GD - Serviços de Transporte</t>
  </si>
  <si>
    <t>14-Serviços de Comunic. Telec</t>
  </si>
  <si>
    <t>3063</t>
  </si>
  <si>
    <t>GD - Serviços de Comunic. Tele</t>
  </si>
  <si>
    <t>15-Outros Serviços e Outras Ativ</t>
  </si>
  <si>
    <t>3064</t>
  </si>
  <si>
    <t>GD - Outros Serviços e Outras</t>
  </si>
  <si>
    <t>16-Assoc. e Entid Filantrópicas</t>
  </si>
  <si>
    <t>3066</t>
  </si>
  <si>
    <t>GD - Assoc. e Entid Filantrópi</t>
  </si>
  <si>
    <t>17-Templos Religiosos</t>
  </si>
  <si>
    <t>3067</t>
  </si>
  <si>
    <t>GD - Templos Religiosos</t>
  </si>
  <si>
    <t>18-Administração Condominial</t>
  </si>
  <si>
    <t>3068</t>
  </si>
  <si>
    <t>GD - Administração Condominial</t>
  </si>
  <si>
    <t>19-Iluminação em rodovias</t>
  </si>
  <si>
    <t>3069</t>
  </si>
  <si>
    <t>GD - Iluminação em vias</t>
  </si>
  <si>
    <t>20-Monitoramento de Transito</t>
  </si>
  <si>
    <t>3065</t>
  </si>
  <si>
    <t>GD - Monitoramento de Transito</t>
  </si>
  <si>
    <t>21-Hospitais</t>
  </si>
  <si>
    <t>3061</t>
  </si>
  <si>
    <t>GD - Hospitais</t>
  </si>
  <si>
    <t>22-Entidades Benef. Educacionais</t>
  </si>
  <si>
    <t>23-Agropecuária Rural</t>
  </si>
  <si>
    <t>4060</t>
  </si>
  <si>
    <t>GD - Agropecuária  Rural</t>
  </si>
  <si>
    <t>24-Agroindustrial</t>
  </si>
  <si>
    <t>4063</t>
  </si>
  <si>
    <t>GD - Agroindustrial</t>
  </si>
  <si>
    <t>25-Serviço Público Irrig. Rural</t>
  </si>
  <si>
    <t>26-Agropecuária Urbana</t>
  </si>
  <si>
    <t>4067</t>
  </si>
  <si>
    <t>GD - Agropecuária Urbana</t>
  </si>
  <si>
    <t>27-Aquicultura</t>
  </si>
  <si>
    <t>4068</t>
  </si>
  <si>
    <t>GD - Aquicultura</t>
  </si>
  <si>
    <t>28-Residencial rural</t>
  </si>
  <si>
    <t>4069</t>
  </si>
  <si>
    <t>GD - Residencial Rural</t>
  </si>
  <si>
    <t>29-Escola Agrotécnica</t>
  </si>
  <si>
    <t>30-Irrig. Noturna SUDENE/IDENE</t>
  </si>
  <si>
    <t>4064</t>
  </si>
  <si>
    <t>GD - Irrig. Noturna SUDENE/IDE</t>
  </si>
  <si>
    <t>31-Serv Publ Irrig SUDENE/IDENE</t>
  </si>
  <si>
    <t>32-Irrig. Noturno SUDENE</t>
  </si>
  <si>
    <t>4065</t>
  </si>
  <si>
    <t>GD - Irrig. Noturno SUDENE</t>
  </si>
  <si>
    <t>33-Serv Publ Irrig Noturna SUDENE</t>
  </si>
  <si>
    <t>34-Irrig. Noturna D. Regiões</t>
  </si>
  <si>
    <t>4066</t>
  </si>
  <si>
    <t>GD - Irrig. Noturna D. Regiões</t>
  </si>
  <si>
    <t>35-Serv Publ Irrig Noturna D. Reg</t>
  </si>
  <si>
    <t>36-Irrigante Noturno IDENE</t>
  </si>
  <si>
    <t>4062</t>
  </si>
  <si>
    <t>GD - Irrig. Noturna IDENE</t>
  </si>
  <si>
    <t>37-Serv. Publ. Ir. Noturna IDENE</t>
  </si>
  <si>
    <t>38-Res Rural Fotovoltáico</t>
  </si>
  <si>
    <t>39-Poder Publico Federal</t>
  </si>
  <si>
    <t>5061</t>
  </si>
  <si>
    <t>GD - Poder Público Federal</t>
  </si>
  <si>
    <t>40-Poder Publico Estadual</t>
  </si>
  <si>
    <t>5063</t>
  </si>
  <si>
    <t>GD - Poder Público Estadual</t>
  </si>
  <si>
    <t>41-Poder Publico Municipal</t>
  </si>
  <si>
    <t>5065</t>
  </si>
  <si>
    <t>GD - Poder Público Municipal</t>
  </si>
  <si>
    <t>42-Poder Publico Fed Fotovoltaico</t>
  </si>
  <si>
    <t>43-Poder Publico Est Fotovoltaico</t>
  </si>
  <si>
    <t>44-Poder Publico Mun Fotovoltaico</t>
  </si>
  <si>
    <t>45-Iluminação Pública B4a</t>
  </si>
  <si>
    <t>6061</t>
  </si>
  <si>
    <t>GD - Iluminação Pública B4a</t>
  </si>
  <si>
    <t>46-Iluminação Pública B4b</t>
  </si>
  <si>
    <t>6062</t>
  </si>
  <si>
    <t>GD - Iluminação Pública B4b</t>
  </si>
  <si>
    <t>47-Água Esgoto e Saneamento</t>
  </si>
  <si>
    <t>7062</t>
  </si>
  <si>
    <t>GD - Água Esgoto e Saneamento</t>
  </si>
  <si>
    <t>48-Tração Elétrica</t>
  </si>
  <si>
    <t>49-Consumo Próprio -Distribuidora</t>
  </si>
  <si>
    <t>8065</t>
  </si>
  <si>
    <t>GD - Distribuidora</t>
  </si>
  <si>
    <t>50-Estação de recarga de veículos</t>
  </si>
  <si>
    <t>8064</t>
  </si>
  <si>
    <t>GD - Est. de recarga veiculos</t>
  </si>
  <si>
    <t>51-Suprim. Outras Concession.</t>
  </si>
  <si>
    <t xml:space="preserve">DADOS TÉCNICOS SUBESTAÇÕES COMPARTILHADAS </t>
  </si>
  <si>
    <t>Cubículo</t>
  </si>
  <si>
    <t>:</t>
  </si>
  <si>
    <t>N° Instalação:</t>
  </si>
  <si>
    <t>Demanda kw:</t>
  </si>
  <si>
    <t>Possui Grid zero,GD ou Gerador a Diesel?:</t>
  </si>
  <si>
    <t>Obeservação:</t>
  </si>
  <si>
    <t>PREENCHER AS INFORMAÇÕES ABAIXO PARA SUBESTAÇÕES COMPARTILHADAS NOVAS</t>
  </si>
  <si>
    <t>CUBÍCULO</t>
  </si>
  <si>
    <t>TRANSFORMADOR(ES)</t>
  </si>
  <si>
    <t>MOTOR(ES)*</t>
  </si>
  <si>
    <t>Potência (Kva)*</t>
  </si>
  <si>
    <t>TIPO</t>
  </si>
  <si>
    <t>Subestação Nº 2</t>
  </si>
  <si>
    <t>Subestação N°4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</si>
  <si>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</si>
  <si>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</si>
  <si>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</si>
  <si>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</si>
  <si>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</si>
  <si>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</si>
  <si>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</si>
  <si>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</si>
  <si>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</si>
  <si>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</si>
  <si>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</si>
  <si>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</si>
  <si>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</si>
  <si>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</si>
  <si>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</si>
  <si>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</si>
  <si>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</si>
  <si>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</si>
  <si>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Conexão Nova</t>
  </si>
  <si>
    <t>Filiação (Mãe ou Pai - sem Abreviação):*</t>
  </si>
  <si>
    <t>RG/RNE/RANI:*</t>
  </si>
  <si>
    <t>Data Nascimento:*</t>
  </si>
  <si>
    <t>E-mail:*</t>
  </si>
  <si>
    <t>item 4</t>
  </si>
  <si>
    <t>ponta azul</t>
  </si>
  <si>
    <t>fora ponta azul</t>
  </si>
  <si>
    <t>verde</t>
  </si>
  <si>
    <t>item 5</t>
  </si>
  <si>
    <t>Validate</t>
  </si>
  <si>
    <t>subestação é nº 2 ou 4°?</t>
  </si>
  <si>
    <t xml:space="preserve">Demanda </t>
  </si>
  <si>
    <t>I pico</t>
  </si>
  <si>
    <t xml:space="preserve">Carga operante no momento da partida do motor </t>
  </si>
  <si>
    <t xml:space="preserve">Corrente de partida do motor </t>
  </si>
  <si>
    <t xml:space="preserve">tempo da partida do motor </t>
  </si>
  <si>
    <t>I partida operante</t>
  </si>
  <si>
    <t>I MOTOR + OPERANTE</t>
  </si>
  <si>
    <t>I int</t>
  </si>
  <si>
    <t>Dial</t>
  </si>
  <si>
    <t xml:space="preserve">tempo </t>
  </si>
  <si>
    <t>KVA</t>
  </si>
  <si>
    <t>QTDE</t>
  </si>
  <si>
    <t>Z%</t>
  </si>
  <si>
    <t>IM/IN</t>
  </si>
  <si>
    <t>T</t>
  </si>
  <si>
    <t>I.N.</t>
  </si>
  <si>
    <t>I. ANSI</t>
  </si>
  <si>
    <t>I. NANSI</t>
  </si>
  <si>
    <t>I.MAG.</t>
  </si>
  <si>
    <t>I. MAGNETIZAÇÃO PARA PROTEÇÃO</t>
  </si>
  <si>
    <t xml:space="preserve">mag de referencia </t>
  </si>
  <si>
    <t>CALCULO DIAL DA PLANTA COM OS MOTORES</t>
  </si>
  <si>
    <t>Inversa</t>
  </si>
  <si>
    <t>TEMPO</t>
  </si>
  <si>
    <t>DIAL</t>
  </si>
  <si>
    <t>muito inversa</t>
  </si>
  <si>
    <t>BETA</t>
  </si>
  <si>
    <t>ALFA</t>
  </si>
  <si>
    <t>Extremamente inversa</t>
  </si>
  <si>
    <t>I inst</t>
  </si>
  <si>
    <t>Long</t>
  </si>
  <si>
    <t>FLAT</t>
  </si>
  <si>
    <t>M= (I INST/IP)</t>
  </si>
  <si>
    <t>CALCULO DIAL DA PLANTA SEM OS MOTORES</t>
  </si>
  <si>
    <t>CALCULO DO DIAL IEC-EI EXTREMAMENTE INVERSA</t>
  </si>
  <si>
    <t xml:space="preserve">DIAL IDEAL REAL </t>
  </si>
  <si>
    <t>Conexão nova</t>
  </si>
  <si>
    <t>Não é conexão nova</t>
  </si>
  <si>
    <t>Aumento de carga</t>
  </si>
  <si>
    <t>Redução de carga</t>
  </si>
  <si>
    <t>Demais solicitações</t>
  </si>
  <si>
    <t>conexão com modalidade verde</t>
  </si>
  <si>
    <t>Conexão nova e verde</t>
  </si>
  <si>
    <t>Conexão nova e azul</t>
  </si>
  <si>
    <t>Conexão nova , verde , escalonada</t>
  </si>
  <si>
    <t>Conexão nova , azul , escalonada</t>
  </si>
  <si>
    <t>não conexão nova,verde</t>
  </si>
  <si>
    <t>não conexão nova,azul</t>
  </si>
  <si>
    <t>Demanda escalonada ?</t>
  </si>
  <si>
    <t xml:space="preserve">SE nova com dial </t>
  </si>
  <si>
    <t xml:space="preserve">SE existente com alteração de SE com dial </t>
  </si>
  <si>
    <t xml:space="preserve">SE existente sem alteração de SE com dial </t>
  </si>
  <si>
    <t>LIMPAR CAMPO INDICAÇÃO DO DIAL</t>
  </si>
  <si>
    <t>condição onde não é conexão nova</t>
  </si>
  <si>
    <t>ocultar campo "para" de mudança de SE</t>
  </si>
  <si>
    <t>Aumento ou redução de demanda</t>
  </si>
  <si>
    <t>Tarifa verde</t>
  </si>
  <si>
    <t>Tarifa azul</t>
  </si>
  <si>
    <t>aumento ou redução e verde</t>
  </si>
  <si>
    <t>aumento ou redução e azul</t>
  </si>
  <si>
    <t>conexao nova e verde</t>
  </si>
  <si>
    <t xml:space="preserve">conexao nova e azul </t>
  </si>
  <si>
    <t>condição para verificar se o cliente é irrigante</t>
  </si>
  <si>
    <t xml:space="preserve">IMPORTANTE:Conforme disposto no § 7º da Resolução Normativa ANEEL nº 1.000/2021, o acesso ao benefício tarifário para atividades de irrigação e aquicultura está condicionado à comprovação, por parte do consumidor, da existência de licenciamento ambiental e da outorga para uso de recursos hídricos, quando exigidos pela legislação federal, estadual, distrital ou municipal. 
</t>
  </si>
  <si>
    <t>Essa exigência está prevista nos artigos 22 e 23 da Lei nº 12.787, de 11 de janeiro de 2013.
Portanto, é imprescindível anexar documentação que comprove o atendimento a esses requisitos legais.</t>
  </si>
  <si>
    <t>condição para verificar o tipo de correspondencia como não email</t>
  </si>
  <si>
    <t xml:space="preserve">condição para apresentar somente ramais rurais </t>
  </si>
  <si>
    <t>condição para apresentar posto 01 e posto 06</t>
  </si>
  <si>
    <t xml:space="preserve">condição para saber se é compartilhada </t>
  </si>
  <si>
    <t xml:space="preserve">condição para saber se é tarifa monomia </t>
  </si>
  <si>
    <t xml:space="preserve">condição alerta tarifa monomia </t>
  </si>
  <si>
    <t>condição para ativar demanda escalonada</t>
  </si>
  <si>
    <t>condição para definição do ramal de entrada</t>
  </si>
  <si>
    <t>tipo de solicitação?</t>
  </si>
  <si>
    <t>Urbana ou rural?</t>
  </si>
  <si>
    <t>troca de subestação?</t>
  </si>
  <si>
    <t>conexão nova</t>
  </si>
  <si>
    <t>existente com mudança de subestaçaõ, campo "para"</t>
  </si>
  <si>
    <t>existente sem mudança de local</t>
  </si>
  <si>
    <t>Tipo de Subestação selecionada</t>
  </si>
  <si>
    <t>GRUPOS DE RAMAIS POSSÍVEIS</t>
  </si>
  <si>
    <t>RAMAL1</t>
  </si>
  <si>
    <t>RAMAL2</t>
  </si>
  <si>
    <t>RAMAL3</t>
  </si>
  <si>
    <t>RAMAL4</t>
  </si>
  <si>
    <t>RAMAL5</t>
  </si>
  <si>
    <t>Urbana</t>
  </si>
  <si>
    <t>Subestação Nº 4</t>
  </si>
  <si>
    <t>Subestação Nº 5</t>
  </si>
  <si>
    <t>Subestação Nº 8</t>
  </si>
  <si>
    <t>Rural</t>
  </si>
  <si>
    <t>existente com mudança de local</t>
  </si>
  <si>
    <t>Existente sem mudança de local</t>
  </si>
  <si>
    <t>Subestação Nº 1</t>
  </si>
  <si>
    <t>Subestação Nº 6</t>
  </si>
  <si>
    <t xml:space="preserve">Rural 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</si>
  <si>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</si>
  <si>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</si>
  <si>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t>Potência</t>
  </si>
  <si>
    <t>1 Motor</t>
  </si>
  <si>
    <t>2 - Motores</t>
  </si>
  <si>
    <t>3 a 5 Motores</t>
  </si>
  <si>
    <t>Mais de 5 Motores</t>
  </si>
  <si>
    <t>Eixo CV</t>
  </si>
  <si>
    <t>Absorvida Rede (KW)</t>
  </si>
  <si>
    <t>1/4'</t>
  </si>
  <si>
    <t>1/3'</t>
  </si>
  <si>
    <t>1/2'</t>
  </si>
  <si>
    <t>3/4'</t>
  </si>
  <si>
    <t>1'</t>
  </si>
  <si>
    <t>1,5'</t>
  </si>
  <si>
    <t>2'</t>
  </si>
  <si>
    <t>3'</t>
  </si>
  <si>
    <t>4'</t>
  </si>
  <si>
    <t>5'</t>
  </si>
  <si>
    <t>7,5'</t>
  </si>
  <si>
    <t>10'</t>
  </si>
  <si>
    <t>12,5'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</si>
  <si>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</si>
  <si>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</si>
  <si>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t>Demanda Individual Absorvida da Rede KVA</t>
  </si>
  <si>
    <t>Absorvida rede KW</t>
  </si>
  <si>
    <t>2 Motores</t>
  </si>
  <si>
    <t>1/6'</t>
  </si>
  <si>
    <t>6'</t>
  </si>
  <si>
    <t>15'</t>
  </si>
  <si>
    <t>20'</t>
  </si>
  <si>
    <t>25'</t>
  </si>
  <si>
    <t>30'</t>
  </si>
  <si>
    <t>50'</t>
  </si>
  <si>
    <t>60'</t>
  </si>
  <si>
    <t>75'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</si>
  <si>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</si>
  <si>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</si>
  <si>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</si>
  <si>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BTU/h</t>
  </si>
  <si>
    <t>Kcal/h</t>
  </si>
  <si>
    <t>kW</t>
  </si>
  <si>
    <t>kVA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</si>
  <si>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</si>
  <si>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</si>
  <si>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</si>
  <si>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</si>
  <si>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</si>
  <si>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</si>
  <si>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</si>
  <si>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</si>
  <si>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>CV</t>
  </si>
  <si>
    <t xml:space="preserve">  Tensão no motor:</t>
  </si>
  <si>
    <t xml:space="preserve">  Corrente de partida (sem dispositivo de partida):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</si>
  <si>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</si>
  <si>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</si>
  <si>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</si>
  <si>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</si>
  <si>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</si>
  <si>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 xml:space="preserve">Tipo </t>
  </si>
  <si>
    <t>Qtde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</si>
  <si>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</si>
  <si>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</si>
  <si>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</si>
  <si>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</si>
  <si>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</si>
  <si>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</si>
  <si>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</si>
  <si>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</si>
  <si>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</si>
  <si>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</si>
  <si>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</si>
  <si>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 xml:space="preserve"> - Potência do transformador do consumidor:</t>
  </si>
  <si>
    <t xml:space="preserve"> - Impendância percentual do transformador do consumidor:</t>
  </si>
  <si>
    <t>NOTAS</t>
  </si>
  <si>
    <t>1 - Em caso de partida sequencial de motores, preencher uma folha para cada motor,  indicando a ordem de partida.</t>
  </si>
  <si>
    <t>2 - Anexar, sempre que possível, a(s) folha(s) das características elétricas, fornecida(s) pelo fabricante do motor.</t>
  </si>
  <si>
    <t>Data:</t>
  </si>
  <si>
    <t>Responsável pelas informações</t>
  </si>
  <si>
    <t>CARGA</t>
  </si>
  <si>
    <t>TIPOS DE SUBESTAÇÕES NOVAS 13,8 kv</t>
  </si>
  <si>
    <t xml:space="preserve">LIGAÇÃO NOVA </t>
  </si>
  <si>
    <t>Tipos de dispositivos de partida</t>
  </si>
  <si>
    <t>Tipode motores</t>
  </si>
  <si>
    <t>logica para definição do ramal conforme tipo de subestação</t>
  </si>
  <si>
    <t>Administração Condominial</t>
  </si>
  <si>
    <t xml:space="preserve">ATÉ 300 KW individual </t>
  </si>
  <si>
    <t>ATÉ 300 KW COMPARTILHADA</t>
  </si>
  <si>
    <t>ACIMA DE 300 KW INDIVIDUAL</t>
  </si>
  <si>
    <t>ACIMA DE 300 KW COMPARTILHADA</t>
  </si>
  <si>
    <t xml:space="preserve">TENSÃO </t>
  </si>
  <si>
    <t>TIPOS DE SERVIÇOS</t>
  </si>
  <si>
    <t>alteração de carga campo "para"</t>
  </si>
  <si>
    <t>CAMPO DE OPÇÕES DE SE CAMPO LIGAÇÃO NOVA</t>
  </si>
  <si>
    <t>ÍNDICES DE RAMAIS DE ENTRADA</t>
  </si>
  <si>
    <t xml:space="preserve">URBANOS </t>
  </si>
  <si>
    <t>RAMAIS CONFORME AREA GEOGRAFICA RURAL OU URBANA</t>
  </si>
  <si>
    <t>MODALIDADE TARIFARIA</t>
  </si>
  <si>
    <t>lista tipos de correspondencias</t>
  </si>
  <si>
    <t xml:space="preserve">Monofásico </t>
  </si>
  <si>
    <t>DISJUNTOR</t>
  </si>
  <si>
    <t>DE/PARA</t>
  </si>
  <si>
    <t>Agroindustrial</t>
  </si>
  <si>
    <t>Subestação Nº 3</t>
  </si>
  <si>
    <t xml:space="preserve">CODIGO PARA SELECIONAR SE NOVA </t>
  </si>
  <si>
    <t>Área de atendimento: Urbano
Atendimento à subestação: N°02, N°04, Nº05 ou N°08
Localização da Subestação: Localizada do mesmo lado da rede de distribuição
Tipo de ramal de conexão: Aéreo
Tipo de ramal de entrada: Subterrâneo</t>
  </si>
  <si>
    <t>TIPO DE DE PEDIDO</t>
  </si>
  <si>
    <t>E-mail</t>
  </si>
  <si>
    <t>Chave Série-Paralelo</t>
  </si>
  <si>
    <t>Bifásico</t>
  </si>
  <si>
    <t>tipo de solicitação</t>
  </si>
  <si>
    <t>Monopolar 10A</t>
  </si>
  <si>
    <t>1x10A</t>
  </si>
  <si>
    <t>Agropecuária Rural</t>
  </si>
  <si>
    <t xml:space="preserve">INDIVIDUAL </t>
  </si>
  <si>
    <t>COMPARTILHADA</t>
  </si>
  <si>
    <t>Aumento de Demanda</t>
  </si>
  <si>
    <t>TARIFA</t>
  </si>
  <si>
    <t>Endereço</t>
  </si>
  <si>
    <t>Partida Estrela-Triângulo</t>
  </si>
  <si>
    <t>Monopolar 15A</t>
  </si>
  <si>
    <t>1x15A</t>
  </si>
  <si>
    <t>Agropecuária Rural Irrigação</t>
  </si>
  <si>
    <t>ABAIXO 300 KW</t>
  </si>
  <si>
    <t>ACIMA 300KW</t>
  </si>
  <si>
    <t>Redução de Demanda</t>
  </si>
  <si>
    <t>Área de atendimento: Urbano
Atendimento à subestação: N°02, N°04, Nº05 ou N°08
Localização da Subestação: Localizada do lado oposto a rede de distribuição
Tipo de ramal de conexão: Aéreo
Tipo de ramal de entrada: Subterrâneo</t>
  </si>
  <si>
    <t>ESCALONADA</t>
  </si>
  <si>
    <t>Agência Correios(Caixa Postal)</t>
  </si>
  <si>
    <t>Monopolar 20A</t>
  </si>
  <si>
    <t>1x20A</t>
  </si>
  <si>
    <t>Agropecuária Urbana</t>
  </si>
  <si>
    <t>Subestação Nº 7</t>
  </si>
  <si>
    <t>Adequação de Subestação</t>
  </si>
  <si>
    <t>Área de atendimento: Urbano
Atendimento à subestação: N°02, Nº05
Localização da Subestação: Localizada do lado oposto a rede de distribuição
Tipo de ramal de conexão: Aéreo
Tipo de ramal de entrada: Não se aplica (Ancorado na parede de 6m de pé direito)</t>
  </si>
  <si>
    <t xml:space="preserve">Resistência/Reatância Primária </t>
  </si>
  <si>
    <t>Monopolar 25A</t>
  </si>
  <si>
    <t>1x25A</t>
  </si>
  <si>
    <t>Água Esgoto e Saneamento</t>
  </si>
  <si>
    <t>Aderir a Tarifa Monômia</t>
  </si>
  <si>
    <t>Área de atendimento: Urbano
Atendimento à subestação: N°02, Nº05
Localização da Subestação: Localizada do mesmo lado da rede de distribuição
Tipo de ramal de conexão: Aéreo
Tipo de ramal de entrada: Não se aplica (Ancorado na parede de 6m de pé direito)</t>
  </si>
  <si>
    <t xml:space="preserve">Resistência Rotórica </t>
  </si>
  <si>
    <t>Monopolar 30A</t>
  </si>
  <si>
    <t>1x30A</t>
  </si>
  <si>
    <t>Aquicultura</t>
  </si>
  <si>
    <t>Religação de Subestação</t>
  </si>
  <si>
    <t>Área de atendimento: Urbano
Atendimento à subestação: N°01, Nº06
Localização da Subestação: Localizada do mesmo lado ou lado oposto da rede de distribuição
Tipo de ramal de conexão: Aéreo com cabo isolado
Tipo de ramal de entrada: Ramal de entrada embutido e ramal de saída subterrâneo</t>
  </si>
  <si>
    <t>Monopolar 35A</t>
  </si>
  <si>
    <t>1x35A</t>
  </si>
  <si>
    <t>Associação e Entidades Filantrópicas</t>
  </si>
  <si>
    <t>Desconexão para encerramento contratual</t>
  </si>
  <si>
    <t>Área de atendimento: Urbano
Atendimento à subestação: N°01, Nº06
Localização da Subestação: Localizada do mesmo lado da rede de distribuição
Tipo de ramal de conexão: Subterrâneo com cabo isolado
Tipo de ramal de entrada: Ramais de entrada e saída subterrâneos</t>
  </si>
  <si>
    <t>Outro</t>
  </si>
  <si>
    <t>Monopolar 40A</t>
  </si>
  <si>
    <t>1x40A</t>
  </si>
  <si>
    <t>Coletividade Rural</t>
  </si>
  <si>
    <t>Área de atendimento: Urbano
Atendimento à subestação: N°02, N°04, Nº05 ou N°08
Localização da Subestação: Localizada do mesmo lado da rede de distribuição
Tipo de ramal de conexão: Subterrâneo
Tipo de ramal de entrada: Subterrâneo</t>
  </si>
  <si>
    <t>Monopolar 50A</t>
  </si>
  <si>
    <t>1x50A</t>
  </si>
  <si>
    <t>Comercial</t>
  </si>
  <si>
    <t>Área de atendimento: Rural (Rede de distribuição passando fora da propriedade particular)
Atendimento à subestação: N°02, N°04, Nº05 ou N°08
Localização da Subestação: Localizada do lado oposto a rede de distribuição
Tipo de ramal de conexão: Aéreo
Tipo de ramal de entrada: Subterrâneo</t>
  </si>
  <si>
    <t>Monopolar 60A</t>
  </si>
  <si>
    <t>1x60A</t>
  </si>
  <si>
    <t>Cooperativa Eletrificação Rural</t>
  </si>
  <si>
    <t>TIPOS DE SUBESTAÇÕES NOVAS 22 kv</t>
  </si>
  <si>
    <t>Área de atendimento: Rural (Rede de distribuição passando fora da propriedade particular)
Atendimento à subestação: N°02, N°04, Nº05 ou N°08
Localização da Subestação: Localizada mesmo lado da rede de distribuição
Tipo de ramal de conexão: Aéreo
Tipo de ramal de entrada: Subterrâneo</t>
  </si>
  <si>
    <t>Monopolar 63A</t>
  </si>
  <si>
    <t>1x63A</t>
  </si>
  <si>
    <t>Entidades Beneficentes Educacionais</t>
  </si>
  <si>
    <t>Área de atendimento: Rural (Rede de distribuição passando dentro da propriedade particular)
Atendimento à subestação: N°02, N°04, Nº05 ou N°08
Tipo de ramal de conexão: Aéreo
Tipo de ramal de entrada: Subterrâneo</t>
  </si>
  <si>
    <t>Monopolar 70A</t>
  </si>
  <si>
    <t>1x70A</t>
  </si>
  <si>
    <t>Escola Agrotécnica</t>
  </si>
  <si>
    <t>Área de atendimento: Rural
Atendimento à subestação: N°01, Nº06
Localização da Subestação: Localizada do mesmo lado ou lado oposto da rede de distribuição
Tipo de ramal de conexão: Aéreo com Ramal de conexão convencional
Tipo de ramal de entrada: Ramal de entrada embutido e ramal de saída Aéreo para atendimento rural</t>
  </si>
  <si>
    <t>Monopolar 300A</t>
  </si>
  <si>
    <t>1x300A</t>
  </si>
  <si>
    <t>Hospitais</t>
  </si>
  <si>
    <t>Bipolar 10A</t>
  </si>
  <si>
    <t>2x10A</t>
  </si>
  <si>
    <t>Iluminação em rodovias</t>
  </si>
  <si>
    <t>Bipolar 15A</t>
  </si>
  <si>
    <t>2x15A</t>
  </si>
  <si>
    <t>Iluminação Pública com Medição</t>
  </si>
  <si>
    <t>Bipolar 20A</t>
  </si>
  <si>
    <t>2x20A</t>
  </si>
  <si>
    <t>Iluminação Pública sem Medição</t>
  </si>
  <si>
    <t>Bipolar 25A</t>
  </si>
  <si>
    <t>2x25A</t>
  </si>
  <si>
    <t>Industrial</t>
  </si>
  <si>
    <t>Bipolar 30A</t>
  </si>
  <si>
    <t>2x30A</t>
  </si>
  <si>
    <t>Irrigação</t>
  </si>
  <si>
    <t>Bipolar 35A</t>
  </si>
  <si>
    <t>2x35A</t>
  </si>
  <si>
    <t>Irrigação Noturna</t>
  </si>
  <si>
    <t>Bipolar 40A</t>
  </si>
  <si>
    <t>2x40A</t>
  </si>
  <si>
    <t>Irrigação Noturna SUDENE</t>
  </si>
  <si>
    <t>Bipolar 50A</t>
  </si>
  <si>
    <t>2x50A</t>
  </si>
  <si>
    <t>Irrigação Noturna SUDENE/IDENE</t>
  </si>
  <si>
    <t>TIPOS DE SUBESTAÇÕES NOVAS 34,5 kv</t>
  </si>
  <si>
    <t>Bipolar 60A</t>
  </si>
  <si>
    <t>2x60A</t>
  </si>
  <si>
    <t>Irrigante Noturno IDENE</t>
  </si>
  <si>
    <t>Bipolar 63A</t>
  </si>
  <si>
    <t>2x63A</t>
  </si>
  <si>
    <t>Monitoramento de Transito</t>
  </si>
  <si>
    <t>Bipolar 70A</t>
  </si>
  <si>
    <t>2x70A</t>
  </si>
  <si>
    <t>Outros Serviços e Outras Atividades</t>
  </si>
  <si>
    <t>Bipolar 80A</t>
  </si>
  <si>
    <t>2x80A</t>
  </si>
  <si>
    <t>Poder Publico Estadual</t>
  </si>
  <si>
    <t>Bipolar 100A</t>
  </si>
  <si>
    <t>2x100A</t>
  </si>
  <si>
    <t>Poder Publico Federal</t>
  </si>
  <si>
    <t xml:space="preserve">ATENDIMENTO À SUBESTAÇÃO N°2, N°4, Nº5 OU N°8 LOCALIZADA DO MESMO LADO DA REDE DE DISTRIBUIÇÃO AÉREA DA CEMIG COM OPÇÃO DO CLIENTE POR RAMAL DE ENTRADA SUBTERRÂNEO </t>
  </si>
  <si>
    <t>Bipolar 150A</t>
  </si>
  <si>
    <t>2x150A</t>
  </si>
  <si>
    <t>Poder Publico Municipal</t>
  </si>
  <si>
    <t xml:space="preserve">ATENDIMENTO À SUBESTAÇÃO Nº 2, N°4, Nº5 OU N°8 LOCALIZADA EM ÁREA DE REDE DE DISTRIBUIÇÃO SUBTERRÂNEA </t>
  </si>
  <si>
    <t>Bipolar 200A</t>
  </si>
  <si>
    <t>2x200A</t>
  </si>
  <si>
    <t>Residencial</t>
  </si>
  <si>
    <t xml:space="preserve">ATENDIMENTO ÀS SUBESTAÇÕES COM RAMAL DE CONEXÃO AÉREO LOCALIZADAS EM ÁREA URBANA DO MESMO LADO DA REDE DE DISTRIBUIÇÃO AÉREA DA CEMIG </t>
  </si>
  <si>
    <t>Tripolar 15A</t>
  </si>
  <si>
    <t>3x15A</t>
  </si>
  <si>
    <t>Residencial rural</t>
  </si>
  <si>
    <t xml:space="preserve">ATENDIMENTO ÀS SUBESTAÇÕES COM RAMAL DE CONEXÃO AÉREO LOCALIZADAS EM ÁREA URBANA DO LADO CONTRÁRIO DA REDE DE DISTRIBUIÇÃO AÉREA DA CEMIG </t>
  </si>
  <si>
    <t>Tripolar 25A</t>
  </si>
  <si>
    <t>3x25A</t>
  </si>
  <si>
    <t>Serviço Público Irrigação Noturna</t>
  </si>
  <si>
    <t>ATENDIMENTO ÀS SUBESTAÇÕES COM RAMAL DE CONEXÃO AÉREO LOCALIZADAS EM ÁREA URBANA DO MESMO LADO OU LADO CONTRÁRIO DA REDE DE DISTRIBUIÇÃO AÉREA DA CEMIG(PARA SUBESTAÇÕES COM PÉ DIREITO DE 6 m)</t>
  </si>
  <si>
    <t>Tripolar 30A</t>
  </si>
  <si>
    <t>3x30A</t>
  </si>
  <si>
    <t>Serviço Público Irrigação Noturna IDENE</t>
  </si>
  <si>
    <t>ATENDIMENTO ÀS SUBESTAÇÕES COM RAMAL DE CONEXÃO AÉREO LOCALIZADAS EM ÁREA RURAL DO MESMO LADO OU LADO CONTRÁRIO DA REDE DE DISTRIBUIÇÃO AÉREA DA CEMIG(PASSANDO FORA DA PROPRIEDADE PARTICULAR)</t>
  </si>
  <si>
    <t>Tripolar 40A</t>
  </si>
  <si>
    <t>3x40A</t>
  </si>
  <si>
    <t>Serviço Público Irrigação Noturna SUDENE</t>
  </si>
  <si>
    <t xml:space="preserve">ATENDIMENTO ÀS SUBESTAÇÕES COM RAMAL DE CONEXÃO AÉREO LOCALIZADAS EM ÁREA RURAL PASSANDO DENTRO DA PROPRIEDADE PARTICULAR </t>
  </si>
  <si>
    <t>Tripolar 50A</t>
  </si>
  <si>
    <t>3x50A</t>
  </si>
  <si>
    <t>Serviço Público Irrigação Rural</t>
  </si>
  <si>
    <t>Tripolar 60A</t>
  </si>
  <si>
    <t>3x60A</t>
  </si>
  <si>
    <t>Serviço Público Irrigação SUDENE/IDENE</t>
  </si>
  <si>
    <t>Tripolar 63A</t>
  </si>
  <si>
    <t>3x63A</t>
  </si>
  <si>
    <t>Serviços de Comunicação e Telecomunicação</t>
  </si>
  <si>
    <t>Tripolar 70A</t>
  </si>
  <si>
    <t>3x70A</t>
  </si>
  <si>
    <t>Serviços de Transporte</t>
  </si>
  <si>
    <t>Tripolar 80A</t>
  </si>
  <si>
    <t>3x80A</t>
  </si>
  <si>
    <t>Suprim. Outras Concession.</t>
  </si>
  <si>
    <t>Tripolar 90A</t>
  </si>
  <si>
    <t>3x90A</t>
  </si>
  <si>
    <t>Templos Religiosos</t>
  </si>
  <si>
    <t>Tripolar 100A</t>
  </si>
  <si>
    <t>3x100A</t>
  </si>
  <si>
    <t>Tração Elétrica</t>
  </si>
  <si>
    <t>Tripolar 120A</t>
  </si>
  <si>
    <t>3x120A</t>
  </si>
  <si>
    <t>Tração Elétrica Ferroviária</t>
  </si>
  <si>
    <t>Tripolar 125A</t>
  </si>
  <si>
    <t>3x125A</t>
  </si>
  <si>
    <t>Tripolar 150A</t>
  </si>
  <si>
    <t>3x150A</t>
  </si>
  <si>
    <t>Tripolar 175A</t>
  </si>
  <si>
    <t>3x175A</t>
  </si>
  <si>
    <t>Tripolar 200A</t>
  </si>
  <si>
    <t>3x200A</t>
  </si>
  <si>
    <t>Tripolar 225A</t>
  </si>
  <si>
    <t>3x225A</t>
  </si>
  <si>
    <t>Tripolar 250A</t>
  </si>
  <si>
    <t>3x250A</t>
  </si>
  <si>
    <t>Tripolar 300A</t>
  </si>
  <si>
    <t>3x300A</t>
  </si>
  <si>
    <t>Tripolar 315A</t>
  </si>
  <si>
    <t>3x315A</t>
  </si>
  <si>
    <t>Tripolar 320A</t>
  </si>
  <si>
    <t>3x320A</t>
  </si>
  <si>
    <t>Tripolar 400A</t>
  </si>
  <si>
    <t>3x400A</t>
  </si>
  <si>
    <t>Tripolar 450A</t>
  </si>
  <si>
    <t>3x450A</t>
  </si>
  <si>
    <t>Tripolar 500A</t>
  </si>
  <si>
    <t>3x500A</t>
  </si>
  <si>
    <t>Tripolar 600A</t>
  </si>
  <si>
    <t>3x600A</t>
  </si>
  <si>
    <t>Tripolar 630A</t>
  </si>
  <si>
    <t>3x630A</t>
  </si>
  <si>
    <t>Tripolar 700A</t>
  </si>
  <si>
    <t>3x700A</t>
  </si>
  <si>
    <t>Tripolar 800A</t>
  </si>
  <si>
    <t>3x800A</t>
  </si>
  <si>
    <t>Alteração da tensão de fornecimento BT→MT</t>
  </si>
  <si>
    <t>item 6</t>
  </si>
  <si>
    <t>Opa! Parece que a coordenada do novo ponto e a coodenada atual estão iguais.</t>
  </si>
  <si>
    <t>Migração Mercado livre sem Aumento de Carga</t>
  </si>
  <si>
    <t>Migração Mercado livre com Aumento de Carga</t>
  </si>
  <si>
    <t>Migração Mercado livre com Redução de Carga</t>
  </si>
  <si>
    <t>Cemig Distribuição S.A-Revisão 3 - 19/01/2026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</si>
</sst>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0\ &quot;kVA&quot;"/>
    <numFmt numFmtId="165" formatCode="\ \ 0\ &quot;kVA&quot;"/>
    <numFmt numFmtId="166" formatCode="[&lt;=99999999999]000\.000\.000\-00;00\.000\.000\/0000\-00"/>
    <numFmt numFmtId="167" formatCode="&quot;(&quot;##&quot;) &quot;#####&quot;-&quot;####"/>
    <numFmt numFmtId="168" formatCode="000\.00\-000"/>
    <numFmt numFmtId="169" formatCode="[&gt;0]\-0.000000;[&lt;0]\-0.000000"/>
    <numFmt numFmtId="170" formatCode="0.0\ &quot;kW&quot;"/>
    <numFmt numFmtId="171" formatCode="0.0\ &quot;A&quot;"/>
    <numFmt numFmtId="172" formatCode="\ \ 0.00\ \k\V"/>
    <numFmt numFmtId="173" formatCode="0.0\ &quot;kVA&quot;"/>
    <numFmt numFmtId="174" formatCode="0.0000"/>
    <numFmt numFmtId="175" formatCode="#,##0.000"/>
    <numFmt numFmtId="176" formatCode="0.000"/>
    <numFmt numFmtId="177" formatCode="0\º"/>
    <numFmt numFmtId="178" formatCode="_(* #,##0_);_(* \(#,##0\);_(* &quot;-&quot;??_);_(@_)"/>
    <numFmt numFmtId="179" formatCode="_(* #,##0.0_);_(* \(#,##0.0\);_(* &quot;-&quot;??_);_(@_)"/>
    <numFmt numFmtId="180" formatCode="0.0"/>
    <numFmt numFmtId="181" formatCode="0.00\ &quot;s&quot;"/>
    <numFmt numFmtId="182" formatCode="\(\9\9\)\ \9\ \9\9\9\9\-\9\9\9\9"/>
    <numFmt numFmtId="183" formatCode="\(\9\9\)\ \9\9\9\9\-\9\9\9\9"/>
    <numFmt numFmtId="184" formatCode="&quot;-&quot;00.000000"/>
    <numFmt numFmtId="185" formatCode="\(##\)\ #####\-####"/>
  </numFmts>
  <fonts count="9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4"/>
      <name val="Calibri"/>
      <family val="2"/>
    </font>
    <font>
      <sz val="12"/>
      <color rgb="FF385623"/>
      <name val="Calibri"/>
      <family val="2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color rgb="FFFF0000"/>
      <name val="Calibri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Calibri"/>
      <family val="2"/>
    </font>
    <font>
      <b/>
      <sz val="9"/>
      <color theme="1"/>
      <name val="Arial"/>
      <family val="2"/>
    </font>
    <font>
      <b/>
      <sz val="8"/>
      <color indexed="8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Symbol"/>
      <family val="1"/>
      <charset val="2"/>
    </font>
    <font>
      <b/>
      <sz val="8"/>
      <color theme="1"/>
      <name val="Arial"/>
      <family val="2"/>
    </font>
    <font>
      <b/>
      <sz val="13.5"/>
      <color theme="1"/>
      <name val="Symbol"/>
      <family val="1"/>
      <charset val="2"/>
    </font>
    <font>
      <b/>
      <sz val="12"/>
      <name val="Arial"/>
      <family val="2"/>
    </font>
    <font>
      <sz val="12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Symbol"/>
      <family val="1"/>
      <charset val="2"/>
    </font>
    <font>
      <sz val="9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0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Calibri"/>
      <family val="2"/>
      <scheme val="minor"/>
    </font>
    <font>
      <sz val="8"/>
      <color theme="0"/>
      <name val="Calibri"/>
      <family val="2"/>
    </font>
    <font>
      <b/>
      <sz val="12"/>
      <color rgb="FF000000"/>
      <name val="Calibri"/>
      <family val="2"/>
    </font>
    <font>
      <b/>
      <sz val="12"/>
      <color indexed="8"/>
      <name val="Arial"/>
      <family val="2"/>
    </font>
    <font>
      <sz val="12"/>
      <color theme="0"/>
      <name val="Calibri"/>
      <family val="2"/>
      <scheme val="minor"/>
    </font>
    <font>
      <sz val="12"/>
      <color indexed="8"/>
      <name val="Arial"/>
      <family val="2"/>
    </font>
    <font>
      <sz val="12"/>
      <color theme="0"/>
      <name val="Arial"/>
      <family val="2"/>
    </font>
    <font>
      <b/>
      <sz val="12"/>
      <name val="Symbol"/>
      <family val="1"/>
      <charset val="2"/>
    </font>
    <font>
      <sz val="12"/>
      <color theme="1"/>
      <name val="Aptos Narrow"/>
      <family val="2"/>
    </font>
    <font>
      <strike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theme="4"/>
        <bgColor theme="4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BB577"/>
        <bgColor rgb="FF6BB577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006600"/>
        <bgColor rgb="FFD8D8D8"/>
      </patternFill>
    </fill>
    <fill>
      <patternFill patternType="solid">
        <fgColor rgb="FF006600"/>
        <bgColor rgb="FF6BB577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6BB577"/>
      </patternFill>
    </fill>
    <fill>
      <patternFill patternType="solid">
        <fgColor rgb="FF006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D9E2F3"/>
      </patternFill>
    </fill>
    <fill>
      <patternFill patternType="solid">
        <fgColor rgb="FFFFFF00"/>
        <bgColor rgb="FF6BB577"/>
      </patternFill>
    </fill>
  </fills>
  <borders count="11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0" fillId="0" borderId="10"/>
    <xf numFmtId="0" fontId="31" fillId="0" borderId="0" applyNumberFormat="0" applyFill="0" applyBorder="0" applyAlignment="0" applyProtection="0"/>
    <xf numFmtId="43" fontId="47" fillId="0" borderId="0" applyFont="0" applyFill="0" applyBorder="0" applyAlignment="0" applyProtection="0"/>
  </cellStyleXfs>
  <cellXfs count="1154">
    <xf numFmtId="0" fontId="0" fillId="0" borderId="0" xfId="0"/>
    <xf numFmtId="0" fontId="3" fillId="0" borderId="0" xfId="0" applyFont="1"/>
    <xf numFmtId="0" fontId="5" fillId="0" borderId="0" xfId="0" applyFont="1"/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left"/>
    </xf>
    <xf numFmtId="0" fontId="7" fillId="0" borderId="0" xfId="0" applyFont="1" applyAlignment="1">
      <alignment horizontal="left" vertical="top"/>
    </xf>
    <xf numFmtId="1" fontId="3" fillId="0" borderId="1" xfId="0" applyNumberFormat="1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12" xfId="0" applyFont="1" applyBorder="1"/>
    <xf numFmtId="0" fontId="6" fillId="0" borderId="0" xfId="0" applyFont="1" applyAlignment="1">
      <alignment horizontal="right"/>
    </xf>
    <xf numFmtId="0" fontId="3" fillId="0" borderId="1" xfId="0" applyFont="1" applyBorder="1" applyAlignment="1">
      <alignment horizontal="center"/>
    </xf>
    <xf numFmtId="1" fontId="3" fillId="0" borderId="6" xfId="0" applyNumberFormat="1" applyFont="1" applyBorder="1" applyAlignment="1">
      <alignment horizontal="right"/>
    </xf>
    <xf numFmtId="1" fontId="3" fillId="0" borderId="12" xfId="0" applyNumberFormat="1" applyFont="1" applyBorder="1" applyAlignment="1">
      <alignment horizontal="right"/>
    </xf>
    <xf numFmtId="0" fontId="6" fillId="0" borderId="0" xfId="0" quotePrefix="1" applyFont="1" applyAlignment="1">
      <alignment horizontal="right"/>
    </xf>
    <xf numFmtId="0" fontId="3" fillId="0" borderId="12" xfId="0" applyFont="1" applyBorder="1" applyAlignment="1">
      <alignment horizontal="center"/>
    </xf>
    <xf numFmtId="0" fontId="3" fillId="6" borderId="15" xfId="0" applyFont="1" applyFill="1" applyBorder="1"/>
    <xf numFmtId="0" fontId="4" fillId="0" borderId="10" xfId="0" applyFont="1" applyBorder="1"/>
    <xf numFmtId="0" fontId="3" fillId="0" borderId="10" xfId="0" applyFont="1" applyBorder="1"/>
    <xf numFmtId="0" fontId="6" fillId="11" borderId="10" xfId="0" applyFont="1" applyFill="1" applyBorder="1"/>
    <xf numFmtId="0" fontId="18" fillId="0" borderId="10" xfId="0" applyFont="1" applyBorder="1"/>
    <xf numFmtId="0" fontId="3" fillId="0" borderId="34" xfId="0" applyFont="1" applyBorder="1"/>
    <xf numFmtId="0" fontId="3" fillId="0" borderId="15" xfId="0" applyFont="1" applyBorder="1"/>
    <xf numFmtId="0" fontId="3" fillId="0" borderId="25" xfId="0" applyFont="1" applyBorder="1" applyAlignment="1">
      <alignment horizontal="center"/>
    </xf>
    <xf numFmtId="14" fontId="3" fillId="0" borderId="10" xfId="0" applyNumberFormat="1" applyFont="1" applyBorder="1"/>
    <xf numFmtId="0" fontId="3" fillId="0" borderId="27" xfId="0" applyFont="1" applyBorder="1"/>
    <xf numFmtId="0" fontId="3" fillId="0" borderId="28" xfId="0" applyFont="1" applyBorder="1" applyAlignment="1">
      <alignment horizontal="center"/>
    </xf>
    <xf numFmtId="170" fontId="3" fillId="0" borderId="10" xfId="0" applyNumberFormat="1" applyFont="1" applyBorder="1"/>
    <xf numFmtId="0" fontId="3" fillId="0" borderId="10" xfId="0" applyFont="1" applyBorder="1" applyAlignment="1">
      <alignment horizontal="center"/>
    </xf>
    <xf numFmtId="0" fontId="3" fillId="0" borderId="23" xfId="0" applyFont="1" applyBorder="1"/>
    <xf numFmtId="0" fontId="3" fillId="0" borderId="22" xfId="0" applyFont="1" applyBorder="1"/>
    <xf numFmtId="0" fontId="3" fillId="0" borderId="31" xfId="0" applyFont="1" applyBorder="1"/>
    <xf numFmtId="0" fontId="0" fillId="8" borderId="10" xfId="0" applyFill="1" applyBorder="1"/>
    <xf numFmtId="0" fontId="0" fillId="0" borderId="10" xfId="0" applyBorder="1"/>
    <xf numFmtId="0" fontId="0" fillId="0" borderId="10" xfId="0" applyBorder="1" applyAlignment="1">
      <alignment horizontal="right"/>
    </xf>
    <xf numFmtId="0" fontId="3" fillId="3" borderId="10" xfId="0" applyFont="1" applyFill="1" applyBorder="1"/>
    <xf numFmtId="166" fontId="3" fillId="0" borderId="10" xfId="0" applyNumberFormat="1" applyFont="1" applyBorder="1"/>
    <xf numFmtId="171" fontId="3" fillId="0" borderId="10" xfId="0" applyNumberFormat="1" applyFont="1" applyBorder="1"/>
    <xf numFmtId="0" fontId="3" fillId="0" borderId="22" xfId="0" applyFont="1" applyBorder="1" applyAlignment="1">
      <alignment horizontal="right"/>
    </xf>
    <xf numFmtId="0" fontId="3" fillId="0" borderId="24" xfId="0" applyFont="1" applyBorder="1"/>
    <xf numFmtId="0" fontId="3" fillId="0" borderId="10" xfId="0" applyFont="1" applyBorder="1" applyAlignment="1">
      <alignment horizontal="right"/>
    </xf>
    <xf numFmtId="0" fontId="3" fillId="0" borderId="25" xfId="0" applyFont="1" applyBorder="1"/>
    <xf numFmtId="0" fontId="9" fillId="0" borderId="10" xfId="1" applyFont="1" applyAlignment="1">
      <alignment horizontal="left" vertical="center" indent="2"/>
    </xf>
    <xf numFmtId="0" fontId="21" fillId="0" borderId="10" xfId="1" applyFont="1"/>
    <xf numFmtId="0" fontId="9" fillId="0" borderId="10" xfId="1" applyFont="1" applyAlignment="1">
      <alignment vertical="center"/>
    </xf>
    <xf numFmtId="49" fontId="25" fillId="0" borderId="4" xfId="0" quotePrefix="1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2" fontId="25" fillId="0" borderId="4" xfId="0" applyNumberFormat="1" applyFont="1" applyBorder="1" applyAlignment="1">
      <alignment horizontal="center" vertical="center" wrapText="1"/>
    </xf>
    <xf numFmtId="0" fontId="20" fillId="0" borderId="10" xfId="1"/>
    <xf numFmtId="49" fontId="26" fillId="0" borderId="4" xfId="0" quotePrefix="1" applyNumberFormat="1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2" fontId="26" fillId="0" borderId="4" xfId="0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49" fontId="26" fillId="0" borderId="4" xfId="0" quotePrefix="1" applyNumberFormat="1" applyFont="1" applyBorder="1" applyAlignment="1">
      <alignment horizontal="center" vertical="center"/>
    </xf>
    <xf numFmtId="2" fontId="27" fillId="0" borderId="4" xfId="0" applyNumberFormat="1" applyFont="1" applyBorder="1" applyAlignment="1">
      <alignment horizontal="center" vertical="center" wrapText="1"/>
    </xf>
    <xf numFmtId="0" fontId="26" fillId="0" borderId="4" xfId="0" quotePrefix="1" applyFont="1" applyBorder="1" applyAlignment="1">
      <alignment horizontal="center" vertical="center" wrapText="1"/>
    </xf>
    <xf numFmtId="0" fontId="12" fillId="0" borderId="10" xfId="1" applyFont="1" applyAlignment="1">
      <alignment vertical="center"/>
    </xf>
    <xf numFmtId="0" fontId="12" fillId="0" borderId="10" xfId="1" applyFont="1" applyAlignment="1">
      <alignment horizontal="left" vertical="center" indent="2"/>
    </xf>
    <xf numFmtId="0" fontId="10" fillId="0" borderId="10" xfId="1" applyFont="1" applyAlignment="1">
      <alignment horizontal="center" vertical="center"/>
    </xf>
    <xf numFmtId="0" fontId="11" fillId="0" borderId="10" xfId="1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4" fillId="19" borderId="4" xfId="0" applyFont="1" applyFill="1" applyBorder="1" applyAlignment="1">
      <alignment horizontal="center" vertical="center" wrapText="1"/>
    </xf>
    <xf numFmtId="0" fontId="23" fillId="19" borderId="4" xfId="0" applyFont="1" applyFill="1" applyBorder="1" applyAlignment="1">
      <alignment horizontal="center" vertical="center" wrapText="1"/>
    </xf>
    <xf numFmtId="0" fontId="15" fillId="19" borderId="17" xfId="0" applyFont="1" applyFill="1" applyBorder="1" applyAlignment="1">
      <alignment horizontal="center" vertical="center"/>
    </xf>
    <xf numFmtId="0" fontId="6" fillId="3" borderId="10" xfId="0" applyFont="1" applyFill="1" applyBorder="1"/>
    <xf numFmtId="0" fontId="3" fillId="5" borderId="10" xfId="0" applyFont="1" applyFill="1" applyBorder="1"/>
    <xf numFmtId="0" fontId="5" fillId="5" borderId="10" xfId="0" applyFont="1" applyFill="1" applyBorder="1"/>
    <xf numFmtId="0" fontId="6" fillId="0" borderId="3" xfId="0" applyFont="1" applyBorder="1" applyAlignment="1">
      <alignment horizontal="right"/>
    </xf>
    <xf numFmtId="1" fontId="3" fillId="0" borderId="9" xfId="0" applyNumberFormat="1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0" fontId="3" fillId="0" borderId="11" xfId="0" applyFont="1" applyBorder="1"/>
    <xf numFmtId="0" fontId="3" fillId="0" borderId="8" xfId="0" applyFont="1" applyBorder="1"/>
    <xf numFmtId="0" fontId="3" fillId="0" borderId="3" xfId="0" applyFont="1" applyBorder="1" applyAlignment="1">
      <alignment horizontal="right"/>
    </xf>
    <xf numFmtId="164" fontId="3" fillId="0" borderId="15" xfId="0" applyNumberFormat="1" applyFont="1" applyBorder="1"/>
    <xf numFmtId="0" fontId="0" fillId="17" borderId="0" xfId="0" applyFill="1"/>
    <xf numFmtId="0" fontId="3" fillId="10" borderId="17" xfId="0" applyFont="1" applyFill="1" applyBorder="1" applyAlignment="1">
      <alignment horizontal="left" vertical="center"/>
    </xf>
    <xf numFmtId="0" fontId="30" fillId="0" borderId="10" xfId="0" applyFont="1" applyBorder="1"/>
    <xf numFmtId="0" fontId="6" fillId="0" borderId="10" xfId="0" applyFont="1" applyBorder="1"/>
    <xf numFmtId="0" fontId="6" fillId="0" borderId="10" xfId="0" applyFont="1" applyBorder="1" applyAlignment="1">
      <alignment horizontal="right"/>
    </xf>
    <xf numFmtId="1" fontId="3" fillId="0" borderId="10" xfId="0" applyNumberFormat="1" applyFont="1" applyBorder="1" applyAlignment="1">
      <alignment horizontal="right"/>
    </xf>
    <xf numFmtId="14" fontId="3" fillId="0" borderId="10" xfId="0" applyNumberFormat="1" applyFont="1" applyBorder="1" applyAlignment="1">
      <alignment horizontal="right"/>
    </xf>
    <xf numFmtId="167" fontId="3" fillId="0" borderId="10" xfId="0" applyNumberFormat="1" applyFont="1" applyBorder="1" applyAlignment="1">
      <alignment horizontal="right"/>
    </xf>
    <xf numFmtId="168" fontId="3" fillId="0" borderId="10" xfId="0" applyNumberFormat="1" applyFont="1" applyBorder="1" applyAlignment="1">
      <alignment horizontal="right"/>
    </xf>
    <xf numFmtId="0" fontId="3" fillId="0" borderId="27" xfId="0" applyFont="1" applyBorder="1" applyAlignment="1">
      <alignment horizontal="right"/>
    </xf>
    <xf numFmtId="0" fontId="6" fillId="15" borderId="23" xfId="0" applyFont="1" applyFill="1" applyBorder="1" applyAlignment="1">
      <alignment horizontal="center" vertical="center"/>
    </xf>
    <xf numFmtId="0" fontId="6" fillId="0" borderId="19" xfId="0" applyFont="1" applyBorder="1"/>
    <xf numFmtId="0" fontId="0" fillId="0" borderId="0" xfId="0" applyAlignment="1">
      <alignment horizontal="center"/>
    </xf>
    <xf numFmtId="0" fontId="0" fillId="0" borderId="27" xfId="0" applyBorder="1"/>
    <xf numFmtId="0" fontId="3" fillId="3" borderId="0" xfId="0" applyFont="1" applyFill="1" applyAlignment="1">
      <alignment horizontal="left" vertical="justify" wrapText="1"/>
    </xf>
    <xf numFmtId="0" fontId="35" fillId="7" borderId="0" xfId="0" applyFont="1" applyFill="1" applyAlignment="1">
      <alignment vertical="center"/>
    </xf>
    <xf numFmtId="0" fontId="36" fillId="7" borderId="0" xfId="0" applyFont="1" applyFill="1" applyAlignment="1">
      <alignment vertical="top" wrapText="1"/>
    </xf>
    <xf numFmtId="0" fontId="21" fillId="0" borderId="10" xfId="0" applyFont="1" applyBorder="1"/>
    <xf numFmtId="0" fontId="14" fillId="0" borderId="10" xfId="0" applyFont="1" applyBorder="1"/>
    <xf numFmtId="0" fontId="0" fillId="0" borderId="22" xfId="0" applyBorder="1"/>
    <xf numFmtId="0" fontId="3" fillId="2" borderId="27" xfId="0" applyFont="1" applyFill="1" applyBorder="1" applyAlignment="1">
      <alignment vertical="center"/>
    </xf>
    <xf numFmtId="0" fontId="3" fillId="2" borderId="45" xfId="0" applyFont="1" applyFill="1" applyBorder="1" applyAlignment="1">
      <alignment vertical="center"/>
    </xf>
    <xf numFmtId="0" fontId="0" fillId="24" borderId="0" xfId="0" applyFill="1"/>
    <xf numFmtId="49" fontId="0" fillId="25" borderId="0" xfId="0" applyNumberFormat="1" applyFill="1"/>
    <xf numFmtId="0" fontId="0" fillId="25" borderId="0" xfId="0" applyFill="1"/>
    <xf numFmtId="0" fontId="3" fillId="2" borderId="32" xfId="0" applyFont="1" applyFill="1" applyBorder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10" borderId="29" xfId="0" applyFont="1" applyFill="1" applyBorder="1" applyAlignment="1">
      <alignment horizontal="center"/>
    </xf>
    <xf numFmtId="0" fontId="40" fillId="10" borderId="29" xfId="0" applyFont="1" applyFill="1" applyBorder="1"/>
    <xf numFmtId="0" fontId="0" fillId="10" borderId="0" xfId="0" applyFill="1"/>
    <xf numFmtId="0" fontId="42" fillId="26" borderId="51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2" fillId="26" borderId="52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0" fillId="0" borderId="17" xfId="0" applyFont="1" applyBorder="1" applyAlignment="1">
      <alignment horizontal="center"/>
    </xf>
    <xf numFmtId="174" fontId="40" fillId="0" borderId="17" xfId="0" applyNumberFormat="1" applyFont="1" applyBorder="1" applyAlignment="1">
      <alignment horizontal="center"/>
    </xf>
    <xf numFmtId="0" fontId="40" fillId="17" borderId="17" xfId="0" applyFont="1" applyFill="1" applyBorder="1" applyAlignment="1">
      <alignment horizontal="center"/>
    </xf>
    <xf numFmtId="175" fontId="40" fillId="27" borderId="17" xfId="0" applyNumberFormat="1" applyFont="1" applyFill="1" applyBorder="1" applyAlignment="1">
      <alignment horizontal="center"/>
    </xf>
    <xf numFmtId="176" fontId="0" fillId="0" borderId="0" xfId="0" applyNumberFormat="1" applyAlignment="1">
      <alignment horizontal="center"/>
    </xf>
    <xf numFmtId="0" fontId="0" fillId="17" borderId="17" xfId="0" applyFill="1" applyBorder="1" applyAlignment="1">
      <alignment horizontal="center"/>
    </xf>
    <xf numFmtId="175" fontId="43" fillId="26" borderId="51" xfId="0" applyNumberFormat="1" applyFont="1" applyFill="1" applyBorder="1" applyAlignment="1">
      <alignment horizontal="center"/>
    </xf>
    <xf numFmtId="175" fontId="43" fillId="26" borderId="52" xfId="0" applyNumberFormat="1" applyFont="1" applyFill="1" applyBorder="1" applyAlignment="1">
      <alignment horizontal="center"/>
    </xf>
    <xf numFmtId="175" fontId="43" fillId="0" borderId="0" xfId="0" applyNumberFormat="1" applyFont="1" applyAlignment="1">
      <alignment horizontal="center"/>
    </xf>
    <xf numFmtId="0" fontId="42" fillId="26" borderId="53" xfId="0" applyFont="1" applyFill="1" applyBorder="1"/>
    <xf numFmtId="177" fontId="39" fillId="0" borderId="54" xfId="0" applyNumberFormat="1" applyFont="1" applyBorder="1" applyAlignment="1">
      <alignment horizontal="center"/>
    </xf>
    <xf numFmtId="177" fontId="39" fillId="0" borderId="0" xfId="0" applyNumberFormat="1" applyFont="1" applyAlignment="1">
      <alignment horizontal="center"/>
    </xf>
    <xf numFmtId="0" fontId="0" fillId="27" borderId="0" xfId="0" applyFill="1"/>
    <xf numFmtId="2" fontId="0" fillId="0" borderId="0" xfId="0" applyNumberFormat="1"/>
    <xf numFmtId="177" fontId="39" fillId="17" borderId="0" xfId="0" applyNumberFormat="1" applyFont="1" applyFill="1" applyAlignment="1">
      <alignment horizontal="center"/>
    </xf>
    <xf numFmtId="165" fontId="3" fillId="18" borderId="28" xfId="0" applyNumberFormat="1" applyFont="1" applyFill="1" applyBorder="1" applyAlignment="1">
      <alignment horizontal="left" vertical="center"/>
    </xf>
    <xf numFmtId="0" fontId="18" fillId="8" borderId="10" xfId="0" applyFont="1" applyFill="1" applyBorder="1" applyAlignment="1">
      <alignment horizontal="center" vertical="center"/>
    </xf>
    <xf numFmtId="43" fontId="51" fillId="8" borderId="10" xfId="3" applyFont="1" applyFill="1" applyBorder="1" applyAlignment="1" applyProtection="1">
      <alignment vertical="center"/>
      <protection hidden="1"/>
    </xf>
    <xf numFmtId="0" fontId="50" fillId="8" borderId="10" xfId="0" applyFont="1" applyFill="1" applyBorder="1" applyAlignment="1" applyProtection="1">
      <alignment vertical="center"/>
      <protection hidden="1"/>
    </xf>
    <xf numFmtId="0" fontId="48" fillId="8" borderId="10" xfId="0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0" fillId="8" borderId="0" xfId="0" applyFill="1"/>
    <xf numFmtId="0" fontId="3" fillId="7" borderId="10" xfId="0" applyFont="1" applyFill="1" applyBorder="1"/>
    <xf numFmtId="0" fontId="0" fillId="0" borderId="17" xfId="0" applyBorder="1"/>
    <xf numFmtId="0" fontId="3" fillId="8" borderId="10" xfId="0" applyFont="1" applyFill="1" applyBorder="1" applyAlignment="1">
      <alignment vertical="center" wrapText="1"/>
    </xf>
    <xf numFmtId="0" fontId="3" fillId="8" borderId="10" xfId="0" applyFont="1" applyFill="1" applyBorder="1" applyAlignment="1">
      <alignment vertical="center"/>
    </xf>
    <xf numFmtId="0" fontId="57" fillId="0" borderId="0" xfId="0" applyFont="1" applyAlignment="1" applyProtection="1">
      <alignment horizontal="center"/>
      <protection hidden="1"/>
    </xf>
    <xf numFmtId="0" fontId="57" fillId="29" borderId="58" xfId="0" applyFont="1" applyFill="1" applyBorder="1" applyAlignment="1" applyProtection="1">
      <alignment horizontal="center"/>
      <protection hidden="1"/>
    </xf>
    <xf numFmtId="0" fontId="57" fillId="29" borderId="59" xfId="0" applyFont="1" applyFill="1" applyBorder="1" applyAlignment="1" applyProtection="1">
      <alignment horizontal="center" vertical="center"/>
      <protection hidden="1"/>
    </xf>
    <xf numFmtId="0" fontId="58" fillId="29" borderId="60" xfId="0" applyFont="1" applyFill="1" applyBorder="1" applyAlignment="1" applyProtection="1">
      <alignment horizontal="center" vertical="center"/>
      <protection hidden="1"/>
    </xf>
    <xf numFmtId="0" fontId="57" fillId="29" borderId="60" xfId="0" applyFont="1" applyFill="1" applyBorder="1" applyAlignment="1" applyProtection="1">
      <alignment horizontal="center" vertical="center"/>
      <protection hidden="1"/>
    </xf>
    <xf numFmtId="0" fontId="59" fillId="0" borderId="0" xfId="0" applyFont="1" applyProtection="1">
      <protection hidden="1"/>
    </xf>
    <xf numFmtId="0" fontId="57" fillId="29" borderId="61" xfId="0" applyFont="1" applyFill="1" applyBorder="1" applyProtection="1">
      <protection hidden="1"/>
    </xf>
    <xf numFmtId="4" fontId="53" fillId="0" borderId="60" xfId="0" applyNumberFormat="1" applyFont="1" applyBorder="1" applyAlignment="1" applyProtection="1">
      <alignment horizontal="right" vertical="center"/>
      <protection hidden="1"/>
    </xf>
    <xf numFmtId="43" fontId="53" fillId="0" borderId="60" xfId="3" applyFont="1" applyBorder="1" applyAlignment="1" applyProtection="1">
      <alignment horizontal="right" vertical="center"/>
      <protection hidden="1"/>
    </xf>
    <xf numFmtId="43" fontId="53" fillId="0" borderId="62" xfId="3" applyFont="1" applyBorder="1" applyAlignment="1" applyProtection="1">
      <alignment horizontal="right" vertical="center"/>
      <protection hidden="1"/>
    </xf>
    <xf numFmtId="180" fontId="53" fillId="0" borderId="0" xfId="0" applyNumberFormat="1" applyFont="1" applyAlignment="1" applyProtection="1">
      <alignment horizontal="right" vertical="center"/>
      <protection hidden="1"/>
    </xf>
    <xf numFmtId="180" fontId="59" fillId="30" borderId="0" xfId="0" applyNumberFormat="1" applyFont="1" applyFill="1" applyProtection="1">
      <protection hidden="1"/>
    </xf>
    <xf numFmtId="0" fontId="57" fillId="0" borderId="0" xfId="0" applyFont="1" applyProtection="1">
      <protection hidden="1"/>
    </xf>
    <xf numFmtId="0" fontId="57" fillId="29" borderId="63" xfId="0" applyFont="1" applyFill="1" applyBorder="1" applyProtection="1">
      <protection hidden="1"/>
    </xf>
    <xf numFmtId="43" fontId="53" fillId="0" borderId="64" xfId="3" applyFont="1" applyBorder="1" applyAlignment="1" applyProtection="1">
      <alignment horizontal="right" vertical="center"/>
      <protection hidden="1"/>
    </xf>
    <xf numFmtId="180" fontId="53" fillId="0" borderId="60" xfId="0" applyNumberFormat="1" applyFont="1" applyBorder="1" applyAlignment="1" applyProtection="1">
      <alignment horizontal="right" vertical="center"/>
      <protection hidden="1"/>
    </xf>
    <xf numFmtId="180" fontId="53" fillId="0" borderId="64" xfId="0" applyNumberFormat="1" applyFont="1" applyBorder="1" applyAlignment="1" applyProtection="1">
      <alignment horizontal="right" vertical="center"/>
      <protection hidden="1"/>
    </xf>
    <xf numFmtId="0" fontId="57" fillId="29" borderId="65" xfId="0" applyFont="1" applyFill="1" applyBorder="1" applyProtection="1">
      <protection hidden="1"/>
    </xf>
    <xf numFmtId="180" fontId="53" fillId="0" borderId="66" xfId="0" applyNumberFormat="1" applyFont="1" applyBorder="1" applyAlignment="1" applyProtection="1">
      <alignment horizontal="right" vertical="center"/>
      <protection hidden="1"/>
    </xf>
    <xf numFmtId="0" fontId="57" fillId="29" borderId="67" xfId="0" applyFont="1" applyFill="1" applyBorder="1" applyProtection="1">
      <protection hidden="1"/>
    </xf>
    <xf numFmtId="180" fontId="53" fillId="0" borderId="68" xfId="0" applyNumberFormat="1" applyFont="1" applyBorder="1" applyAlignment="1" applyProtection="1">
      <alignment horizontal="right" vertical="center"/>
      <protection hidden="1"/>
    </xf>
    <xf numFmtId="180" fontId="53" fillId="0" borderId="69" xfId="0" applyNumberFormat="1" applyFont="1" applyBorder="1" applyAlignment="1" applyProtection="1">
      <alignment horizontal="right" vertical="center"/>
      <protection hidden="1"/>
    </xf>
    <xf numFmtId="178" fontId="57" fillId="30" borderId="71" xfId="0" applyNumberFormat="1" applyFont="1" applyFill="1" applyBorder="1" applyProtection="1">
      <protection hidden="1"/>
    </xf>
    <xf numFmtId="178" fontId="57" fillId="30" borderId="0" xfId="0" applyNumberFormat="1" applyFont="1" applyFill="1" applyProtection="1">
      <protection hidden="1"/>
    </xf>
    <xf numFmtId="0" fontId="56" fillId="30" borderId="0" xfId="0" applyFont="1" applyFill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180" fontId="53" fillId="0" borderId="73" xfId="0" applyNumberFormat="1" applyFont="1" applyBorder="1" applyProtection="1">
      <protection hidden="1"/>
    </xf>
    <xf numFmtId="4" fontId="53" fillId="30" borderId="0" xfId="0" applyNumberFormat="1" applyFont="1" applyFill="1" applyProtection="1">
      <protection hidden="1"/>
    </xf>
    <xf numFmtId="0" fontId="53" fillId="0" borderId="0" xfId="0" applyFont="1" applyProtection="1">
      <protection hidden="1"/>
    </xf>
    <xf numFmtId="0" fontId="62" fillId="0" borderId="0" xfId="0" applyFont="1"/>
    <xf numFmtId="0" fontId="0" fillId="0" borderId="75" xfId="0" applyBorder="1"/>
    <xf numFmtId="0" fontId="0" fillId="8" borderId="0" xfId="0" applyFill="1" applyAlignment="1">
      <alignment horizontal="center" vertical="center"/>
    </xf>
    <xf numFmtId="2" fontId="0" fillId="8" borderId="0" xfId="0" applyNumberFormat="1" applyFill="1"/>
    <xf numFmtId="0" fontId="40" fillId="0" borderId="17" xfId="0" applyFont="1" applyBorder="1"/>
    <xf numFmtId="0" fontId="61" fillId="0" borderId="17" xfId="0" applyFont="1" applyBorder="1"/>
    <xf numFmtId="2" fontId="62" fillId="0" borderId="17" xfId="0" applyNumberFormat="1" applyFont="1" applyBorder="1"/>
    <xf numFmtId="0" fontId="62" fillId="0" borderId="17" xfId="0" applyFont="1" applyBorder="1"/>
    <xf numFmtId="0" fontId="40" fillId="31" borderId="17" xfId="0" applyFont="1" applyFill="1" applyBorder="1" applyAlignment="1">
      <alignment wrapText="1"/>
    </xf>
    <xf numFmtId="0" fontId="0" fillId="31" borderId="17" xfId="0" applyFill="1" applyBorder="1"/>
    <xf numFmtId="0" fontId="40" fillId="17" borderId="17" xfId="0" applyFont="1" applyFill="1" applyBorder="1" applyAlignment="1">
      <alignment wrapText="1"/>
    </xf>
    <xf numFmtId="0" fontId="0" fillId="17" borderId="17" xfId="0" applyFill="1" applyBorder="1"/>
    <xf numFmtId="0" fontId="65" fillId="0" borderId="0" xfId="0" applyFont="1"/>
    <xf numFmtId="0" fontId="0" fillId="33" borderId="55" xfId="0" applyFill="1" applyBorder="1"/>
    <xf numFmtId="0" fontId="0" fillId="33" borderId="56" xfId="0" applyFill="1" applyBorder="1"/>
    <xf numFmtId="0" fontId="0" fillId="33" borderId="57" xfId="0" applyFill="1" applyBorder="1"/>
    <xf numFmtId="0" fontId="0" fillId="17" borderId="0" xfId="0" applyFill="1" applyAlignment="1">
      <alignment horizontal="right"/>
    </xf>
    <xf numFmtId="0" fontId="69" fillId="0" borderId="0" xfId="0" applyFont="1"/>
    <xf numFmtId="0" fontId="3" fillId="8" borderId="55" xfId="0" applyFont="1" applyFill="1" applyBorder="1"/>
    <xf numFmtId="0" fontId="3" fillId="10" borderId="20" xfId="0" applyFont="1" applyFill="1" applyBorder="1"/>
    <xf numFmtId="0" fontId="3" fillId="10" borderId="21" xfId="0" applyFont="1" applyFill="1" applyBorder="1"/>
    <xf numFmtId="0" fontId="0" fillId="10" borderId="19" xfId="0" applyFill="1" applyBorder="1"/>
    <xf numFmtId="0" fontId="3" fillId="10" borderId="29" xfId="0" applyFont="1" applyFill="1" applyBorder="1"/>
    <xf numFmtId="0" fontId="0" fillId="0" borderId="58" xfId="0" applyBorder="1"/>
    <xf numFmtId="0" fontId="0" fillId="0" borderId="76" xfId="0" applyBorder="1"/>
    <xf numFmtId="0" fontId="0" fillId="0" borderId="77" xfId="0" applyBorder="1"/>
    <xf numFmtId="0" fontId="3" fillId="0" borderId="74" xfId="0" applyFont="1" applyBorder="1"/>
    <xf numFmtId="0" fontId="30" fillId="0" borderId="75" xfId="0" applyFont="1" applyBorder="1"/>
    <xf numFmtId="0" fontId="0" fillId="0" borderId="74" xfId="0" applyBorder="1"/>
    <xf numFmtId="0" fontId="3" fillId="0" borderId="75" xfId="0" applyFont="1" applyBorder="1"/>
    <xf numFmtId="0" fontId="0" fillId="0" borderId="70" xfId="0" applyBorder="1"/>
    <xf numFmtId="0" fontId="0" fillId="0" borderId="72" xfId="0" applyBorder="1"/>
    <xf numFmtId="0" fontId="0" fillId="0" borderId="78" xfId="0" applyBorder="1"/>
    <xf numFmtId="0" fontId="0" fillId="0" borderId="0" xfId="0" applyAlignment="1">
      <alignment horizontal="right"/>
    </xf>
    <xf numFmtId="179" fontId="57" fillId="25" borderId="60" xfId="3" applyNumberFormat="1" applyFont="1" applyFill="1" applyBorder="1" applyAlignment="1" applyProtection="1">
      <alignment horizontal="right" vertical="center"/>
      <protection hidden="1"/>
    </xf>
    <xf numFmtId="178" fontId="57" fillId="25" borderId="60" xfId="3" applyNumberFormat="1" applyFont="1" applyFill="1" applyBorder="1" applyAlignment="1" applyProtection="1">
      <alignment horizontal="right" vertical="center"/>
      <protection hidden="1"/>
    </xf>
    <xf numFmtId="179" fontId="57" fillId="25" borderId="60" xfId="0" applyNumberFormat="1" applyFont="1" applyFill="1" applyBorder="1" applyAlignment="1" applyProtection="1">
      <alignment horizontal="right" vertical="center"/>
      <protection hidden="1"/>
    </xf>
    <xf numFmtId="2" fontId="57" fillId="25" borderId="60" xfId="0" applyNumberFormat="1" applyFont="1" applyFill="1" applyBorder="1" applyAlignment="1" applyProtection="1">
      <alignment horizontal="right" vertical="center"/>
      <protection hidden="1"/>
    </xf>
    <xf numFmtId="178" fontId="57" fillId="25" borderId="60" xfId="0" applyNumberFormat="1" applyFont="1" applyFill="1" applyBorder="1" applyAlignment="1" applyProtection="1">
      <alignment horizontal="right" vertical="center"/>
      <protection hidden="1"/>
    </xf>
    <xf numFmtId="179" fontId="57" fillId="25" borderId="68" xfId="0" applyNumberFormat="1" applyFont="1" applyFill="1" applyBorder="1" applyAlignment="1" applyProtection="1">
      <alignment horizontal="right" vertical="center"/>
      <protection hidden="1"/>
    </xf>
    <xf numFmtId="178" fontId="57" fillId="25" borderId="68" xfId="0" applyNumberFormat="1" applyFont="1" applyFill="1" applyBorder="1" applyAlignment="1" applyProtection="1">
      <alignment horizontal="right" vertical="center"/>
      <protection hidden="1"/>
    </xf>
    <xf numFmtId="0" fontId="60" fillId="29" borderId="70" xfId="0" applyFont="1" applyFill="1" applyBorder="1" applyAlignment="1" applyProtection="1">
      <alignment horizontal="center"/>
      <protection hidden="1"/>
    </xf>
    <xf numFmtId="0" fontId="28" fillId="8" borderId="10" xfId="0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top" wrapText="1"/>
    </xf>
    <xf numFmtId="0" fontId="0" fillId="0" borderId="0" xfId="0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/>
    </xf>
    <xf numFmtId="0" fontId="71" fillId="8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3" fillId="8" borderId="0" xfId="0" applyFont="1" applyFill="1"/>
    <xf numFmtId="0" fontId="3" fillId="8" borderId="0" xfId="0" applyFont="1" applyFill="1" applyAlignment="1">
      <alignment horizontal="left"/>
    </xf>
    <xf numFmtId="165" fontId="3" fillId="8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0" fontId="40" fillId="0" borderId="0" xfId="0" applyFont="1" applyAlignment="1">
      <alignment vertical="center"/>
    </xf>
    <xf numFmtId="0" fontId="73" fillId="0" borderId="3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25" xfId="0" applyFont="1" applyBorder="1" applyAlignment="1">
      <alignment horizontal="center" vertical="center"/>
    </xf>
    <xf numFmtId="0" fontId="74" fillId="0" borderId="31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40" fillId="0" borderId="31" xfId="0" applyFont="1" applyBorder="1" applyAlignment="1">
      <alignment horizontal="left" vertical="center"/>
    </xf>
    <xf numFmtId="0" fontId="40" fillId="0" borderId="27" xfId="0" applyFont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left" vertical="center"/>
    </xf>
    <xf numFmtId="0" fontId="40" fillId="0" borderId="81" xfId="0" applyFont="1" applyBorder="1" applyAlignment="1">
      <alignment vertical="center"/>
    </xf>
    <xf numFmtId="0" fontId="40" fillId="0" borderId="30" xfId="0" applyFont="1" applyBorder="1" applyAlignment="1">
      <alignment vertical="center"/>
    </xf>
    <xf numFmtId="0" fontId="40" fillId="0" borderId="27" xfId="0" applyFont="1" applyBorder="1" applyAlignment="1">
      <alignment vertical="center"/>
    </xf>
    <xf numFmtId="0" fontId="40" fillId="0" borderId="28" xfId="0" applyFont="1" applyBorder="1" applyAlignment="1">
      <alignment vertical="center"/>
    </xf>
    <xf numFmtId="0" fontId="40" fillId="0" borderId="31" xfId="0" applyFont="1" applyBorder="1" applyAlignment="1">
      <alignment vertical="center"/>
    </xf>
    <xf numFmtId="0" fontId="40" fillId="0" borderId="25" xfId="0" applyFont="1" applyBorder="1" applyAlignment="1">
      <alignment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0" fontId="40" fillId="0" borderId="20" xfId="0" applyFont="1" applyBorder="1" applyAlignment="1" applyProtection="1">
      <alignment horizontal="center" vertical="center"/>
      <protection locked="0"/>
    </xf>
    <xf numFmtId="0" fontId="40" fillId="0" borderId="27" xfId="0" applyFont="1" applyBorder="1" applyAlignment="1" applyProtection="1">
      <alignment vertical="center"/>
      <protection locked="0"/>
    </xf>
    <xf numFmtId="0" fontId="40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40" fillId="0" borderId="25" xfId="0" applyFont="1" applyBorder="1"/>
    <xf numFmtId="0" fontId="40" fillId="0" borderId="0" xfId="0" applyFont="1"/>
    <xf numFmtId="0" fontId="74" fillId="0" borderId="25" xfId="0" applyFont="1" applyBorder="1" applyAlignment="1">
      <alignment vertical="center"/>
    </xf>
    <xf numFmtId="0" fontId="40" fillId="0" borderId="25" xfId="0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40" fillId="0" borderId="20" xfId="0" applyFont="1" applyBorder="1" applyAlignment="1" applyProtection="1">
      <alignment vertical="center"/>
      <protection locked="0"/>
    </xf>
    <xf numFmtId="0" fontId="40" fillId="0" borderId="27" xfId="0" applyFont="1" applyBorder="1" applyAlignment="1">
      <alignment horizontal="left" vertical="center"/>
    </xf>
    <xf numFmtId="0" fontId="40" fillId="0" borderId="31" xfId="0" applyFont="1" applyBorder="1" applyAlignment="1">
      <alignment vertical="center" wrapText="1"/>
    </xf>
    <xf numFmtId="0" fontId="40" fillId="0" borderId="10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0" fillId="10" borderId="20" xfId="0" applyFill="1" applyBorder="1"/>
    <xf numFmtId="0" fontId="0" fillId="10" borderId="21" xfId="0" applyFill="1" applyBorder="1"/>
    <xf numFmtId="0" fontId="76" fillId="0" borderId="76" xfId="0" applyFont="1" applyBorder="1"/>
    <xf numFmtId="170" fontId="3" fillId="8" borderId="10" xfId="0" applyNumberFormat="1" applyFont="1" applyFill="1" applyBorder="1" applyAlignment="1">
      <alignment vertical="center"/>
    </xf>
    <xf numFmtId="0" fontId="36" fillId="4" borderId="10" xfId="0" applyFont="1" applyFill="1" applyBorder="1" applyAlignment="1">
      <alignment vertical="center" wrapText="1"/>
    </xf>
    <xf numFmtId="0" fontId="36" fillId="4" borderId="27" xfId="0" applyFont="1" applyFill="1" applyBorder="1" applyAlignment="1">
      <alignment vertical="center" wrapText="1"/>
    </xf>
    <xf numFmtId="1" fontId="3" fillId="0" borderId="0" xfId="0" applyNumberFormat="1" applyFont="1"/>
    <xf numFmtId="0" fontId="0" fillId="10" borderId="20" xfId="0" applyFill="1" applyBorder="1" applyAlignment="1">
      <alignment horizontal="left" vertical="center"/>
    </xf>
    <xf numFmtId="0" fontId="0" fillId="10" borderId="21" xfId="0" applyFill="1" applyBorder="1" applyAlignment="1">
      <alignment horizontal="left" vertical="center"/>
    </xf>
    <xf numFmtId="0" fontId="63" fillId="8" borderId="0" xfId="0" applyFont="1" applyFill="1" applyAlignment="1">
      <alignment horizontal="center" vertical="center"/>
    </xf>
    <xf numFmtId="2" fontId="64" fillId="8" borderId="0" xfId="0" applyNumberFormat="1" applyFont="1" applyFill="1" applyAlignment="1">
      <alignment horizontal="center" vertical="center"/>
    </xf>
    <xf numFmtId="0" fontId="76" fillId="8" borderId="10" xfId="0" applyFont="1" applyFill="1" applyBorder="1"/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0" fillId="0" borderId="90" xfId="0" applyFont="1" applyBorder="1"/>
    <xf numFmtId="0" fontId="0" fillId="0" borderId="90" xfId="0" applyBorder="1"/>
    <xf numFmtId="0" fontId="0" fillId="0" borderId="90" xfId="0" applyBorder="1" applyAlignment="1">
      <alignment horizontal="center" vertical="center"/>
    </xf>
    <xf numFmtId="170" fontId="3" fillId="0" borderId="10" xfId="0" applyNumberFormat="1" applyFont="1" applyBorder="1" applyAlignment="1">
      <alignment horizontal="right"/>
    </xf>
    <xf numFmtId="0" fontId="63" fillId="8" borderId="10" xfId="0" applyFont="1" applyFill="1" applyBorder="1" applyAlignment="1">
      <alignment horizontal="center" vertical="center"/>
    </xf>
    <xf numFmtId="0" fontId="20" fillId="8" borderId="0" xfId="0" applyFont="1" applyFill="1"/>
    <xf numFmtId="0" fontId="3" fillId="7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/>
    </xf>
    <xf numFmtId="0" fontId="20" fillId="0" borderId="0" xfId="0" applyFont="1"/>
    <xf numFmtId="0" fontId="19" fillId="10" borderId="29" xfId="0" applyFont="1" applyFill="1" applyBorder="1" applyAlignment="1">
      <alignment horizontal="right"/>
    </xf>
    <xf numFmtId="0" fontId="83" fillId="8" borderId="10" xfId="0" applyFont="1" applyFill="1" applyBorder="1" applyAlignment="1" applyProtection="1">
      <alignment vertical="center"/>
      <protection hidden="1"/>
    </xf>
    <xf numFmtId="0" fontId="84" fillId="8" borderId="10" xfId="0" applyFont="1" applyFill="1" applyBorder="1"/>
    <xf numFmtId="0" fontId="79" fillId="8" borderId="10" xfId="0" applyFont="1" applyFill="1" applyBorder="1" applyAlignment="1" applyProtection="1">
      <alignment vertical="center"/>
      <protection hidden="1"/>
    </xf>
    <xf numFmtId="43" fontId="79" fillId="8" borderId="10" xfId="3" applyFont="1" applyFill="1" applyBorder="1" applyAlignment="1" applyProtection="1">
      <alignment vertical="center"/>
      <protection hidden="1"/>
    </xf>
    <xf numFmtId="0" fontId="20" fillId="0" borderId="10" xfId="0" applyFont="1" applyBorder="1"/>
    <xf numFmtId="0" fontId="20" fillId="8" borderId="10" xfId="0" applyFont="1" applyFill="1" applyBorder="1"/>
    <xf numFmtId="0" fontId="20" fillId="0" borderId="27" xfId="0" applyFont="1" applyBorder="1"/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horizontal="left" vertical="top"/>
    </xf>
    <xf numFmtId="0" fontId="90" fillId="0" borderId="10" xfId="0" applyFont="1" applyBorder="1"/>
    <xf numFmtId="0" fontId="90" fillId="0" borderId="76" xfId="0" applyFont="1" applyBorder="1"/>
    <xf numFmtId="0" fontId="90" fillId="0" borderId="72" xfId="0" applyFont="1" applyBorder="1"/>
    <xf numFmtId="0" fontId="5" fillId="0" borderId="76" xfId="0" applyFont="1" applyBorder="1"/>
    <xf numFmtId="0" fontId="5" fillId="0" borderId="72" xfId="0" applyFont="1" applyBorder="1"/>
    <xf numFmtId="0" fontId="5" fillId="0" borderId="10" xfId="0" applyFont="1" applyBorder="1"/>
    <xf numFmtId="0" fontId="0" fillId="17" borderId="77" xfId="0" applyFill="1" applyBorder="1"/>
    <xf numFmtId="0" fontId="0" fillId="17" borderId="75" xfId="0" applyFill="1" applyBorder="1"/>
    <xf numFmtId="0" fontId="0" fillId="17" borderId="78" xfId="0" applyFill="1" applyBorder="1"/>
    <xf numFmtId="0" fontId="0" fillId="37" borderId="77" xfId="0" applyFill="1" applyBorder="1"/>
    <xf numFmtId="0" fontId="0" fillId="37" borderId="75" xfId="0" applyFill="1" applyBorder="1"/>
    <xf numFmtId="0" fontId="0" fillId="37" borderId="78" xfId="0" applyFill="1" applyBorder="1"/>
    <xf numFmtId="0" fontId="0" fillId="27" borderId="77" xfId="0" applyFill="1" applyBorder="1"/>
    <xf numFmtId="0" fontId="0" fillId="27" borderId="75" xfId="0" applyFill="1" applyBorder="1"/>
    <xf numFmtId="0" fontId="0" fillId="38" borderId="77" xfId="0" applyFill="1" applyBorder="1"/>
    <xf numFmtId="0" fontId="0" fillId="38" borderId="78" xfId="0" applyFill="1" applyBorder="1"/>
    <xf numFmtId="0" fontId="0" fillId="39" borderId="77" xfId="0" applyFill="1" applyBorder="1"/>
    <xf numFmtId="0" fontId="0" fillId="17" borderId="98" xfId="0" applyFill="1" applyBorder="1"/>
    <xf numFmtId="0" fontId="0" fillId="17" borderId="99" xfId="0" applyFill="1" applyBorder="1"/>
    <xf numFmtId="0" fontId="0" fillId="17" borderId="71" xfId="0" applyFill="1" applyBorder="1"/>
    <xf numFmtId="0" fontId="0" fillId="27" borderId="98" xfId="0" applyFill="1" applyBorder="1"/>
    <xf numFmtId="0" fontId="0" fillId="27" borderId="99" xfId="0" applyFill="1" applyBorder="1"/>
    <xf numFmtId="0" fontId="0" fillId="27" borderId="71" xfId="0" applyFill="1" applyBorder="1"/>
    <xf numFmtId="0" fontId="0" fillId="0" borderId="98" xfId="0" applyBorder="1"/>
    <xf numFmtId="0" fontId="0" fillId="0" borderId="99" xfId="0" applyBorder="1"/>
    <xf numFmtId="0" fontId="0" fillId="0" borderId="71" xfId="0" applyBorder="1"/>
    <xf numFmtId="0" fontId="3" fillId="13" borderId="10" xfId="0" applyFont="1" applyFill="1" applyBorder="1"/>
    <xf numFmtId="0" fontId="3" fillId="14" borderId="10" xfId="0" applyFont="1" applyFill="1" applyBorder="1"/>
    <xf numFmtId="0" fontId="3" fillId="40" borderId="10" xfId="0" applyFont="1" applyFill="1" applyBorder="1"/>
    <xf numFmtId="0" fontId="0" fillId="17" borderId="10" xfId="0" applyFill="1" applyBorder="1"/>
    <xf numFmtId="0" fontId="84" fillId="8" borderId="0" xfId="0" applyFont="1" applyFill="1"/>
    <xf numFmtId="0" fontId="84" fillId="8" borderId="10" xfId="0" applyFont="1" applyFill="1" applyBorder="1" applyAlignment="1" applyProtection="1">
      <alignment vertical="center"/>
      <protection hidden="1"/>
    </xf>
    <xf numFmtId="0" fontId="21" fillId="0" borderId="58" xfId="0" applyFont="1" applyBorder="1"/>
    <xf numFmtId="0" fontId="21" fillId="0" borderId="76" xfId="0" applyFont="1" applyBorder="1"/>
    <xf numFmtId="0" fontId="14" fillId="0" borderId="77" xfId="0" applyFont="1" applyBorder="1" applyAlignment="1">
      <alignment vertical="center"/>
    </xf>
    <xf numFmtId="0" fontId="21" fillId="0" borderId="74" xfId="0" applyFont="1" applyBorder="1"/>
    <xf numFmtId="0" fontId="80" fillId="0" borderId="10" xfId="0" applyFont="1" applyBorder="1" applyAlignment="1">
      <alignment vertical="center"/>
    </xf>
    <xf numFmtId="0" fontId="81" fillId="0" borderId="10" xfId="0" applyFont="1" applyBorder="1" applyAlignment="1">
      <alignment vertical="center"/>
    </xf>
    <xf numFmtId="14" fontId="81" fillId="0" borderId="10" xfId="0" applyNumberFormat="1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32" fillId="0" borderId="75" xfId="0" applyFont="1" applyBorder="1"/>
    <xf numFmtId="0" fontId="14" fillId="0" borderId="74" xfId="0" applyFont="1" applyBorder="1"/>
    <xf numFmtId="0" fontId="17" fillId="0" borderId="10" xfId="0" applyFont="1" applyBorder="1" applyAlignment="1">
      <alignment horizontal="right"/>
    </xf>
    <xf numFmtId="0" fontId="32" fillId="0" borderId="10" xfId="0" applyFont="1" applyBorder="1" applyAlignment="1">
      <alignment horizontal="right" vertical="center"/>
    </xf>
    <xf numFmtId="0" fontId="6" fillId="0" borderId="70" xfId="0" applyFont="1" applyBorder="1"/>
    <xf numFmtId="0" fontId="6" fillId="0" borderId="72" xfId="0" applyFont="1" applyBorder="1"/>
    <xf numFmtId="0" fontId="17" fillId="0" borderId="72" xfId="0" applyFont="1" applyBorder="1" applyAlignment="1">
      <alignment horizontal="right"/>
    </xf>
    <xf numFmtId="0" fontId="17" fillId="0" borderId="78" xfId="0" applyFont="1" applyBorder="1" applyAlignment="1">
      <alignment horizontal="right"/>
    </xf>
    <xf numFmtId="0" fontId="2" fillId="0" borderId="0" xfId="0" applyFont="1" applyAlignment="1">
      <alignment wrapText="1"/>
    </xf>
    <xf numFmtId="0" fontId="3" fillId="2" borderId="92" xfId="0" applyFont="1" applyFill="1" applyBorder="1"/>
    <xf numFmtId="0" fontId="3" fillId="2" borderId="93" xfId="0" applyFont="1" applyFill="1" applyBorder="1"/>
    <xf numFmtId="0" fontId="3" fillId="2" borderId="101" xfId="0" applyFont="1" applyFill="1" applyBorder="1"/>
    <xf numFmtId="165" fontId="3" fillId="18" borderId="91" xfId="0" applyNumberFormat="1" applyFont="1" applyFill="1" applyBorder="1" applyAlignment="1">
      <alignment horizontal="left" vertical="center"/>
    </xf>
    <xf numFmtId="0" fontId="3" fillId="18" borderId="92" xfId="0" applyFont="1" applyFill="1" applyBorder="1" applyAlignment="1">
      <alignment vertical="center"/>
    </xf>
    <xf numFmtId="0" fontId="3" fillId="18" borderId="93" xfId="0" applyFont="1" applyFill="1" applyBorder="1" applyAlignment="1">
      <alignment vertical="center"/>
    </xf>
    <xf numFmtId="0" fontId="3" fillId="18" borderId="94" xfId="0" applyFont="1" applyFill="1" applyBorder="1" applyAlignment="1">
      <alignment vertical="center"/>
    </xf>
    <xf numFmtId="0" fontId="2" fillId="0" borderId="0" xfId="0" applyFont="1"/>
    <xf numFmtId="0" fontId="20" fillId="10" borderId="91" xfId="0" applyFont="1" applyFill="1" applyBorder="1" applyAlignment="1">
      <alignment vertical="center" wrapText="1"/>
    </xf>
    <xf numFmtId="2" fontId="20" fillId="0" borderId="91" xfId="0" applyNumberFormat="1" applyFont="1" applyBorder="1" applyAlignment="1">
      <alignment vertical="center"/>
    </xf>
    <xf numFmtId="0" fontId="20" fillId="10" borderId="93" xfId="0" applyFont="1" applyFill="1" applyBorder="1" applyAlignment="1">
      <alignment vertical="center"/>
    </xf>
    <xf numFmtId="0" fontId="20" fillId="10" borderId="94" xfId="0" applyFont="1" applyFill="1" applyBorder="1" applyAlignment="1">
      <alignment vertical="center"/>
    </xf>
    <xf numFmtId="0" fontId="40" fillId="10" borderId="91" xfId="0" applyFont="1" applyFill="1" applyBorder="1" applyAlignment="1">
      <alignment horizontal="center"/>
    </xf>
    <xf numFmtId="0" fontId="44" fillId="10" borderId="91" xfId="0" applyFont="1" applyFill="1" applyBorder="1" applyAlignment="1">
      <alignment horizontal="center"/>
    </xf>
    <xf numFmtId="0" fontId="2" fillId="17" borderId="0" xfId="0" applyFont="1" applyFill="1"/>
    <xf numFmtId="0" fontId="2" fillId="10" borderId="19" xfId="0" applyFont="1" applyFill="1" applyBorder="1" applyAlignment="1">
      <alignment horizontal="left" vertical="center"/>
    </xf>
    <xf numFmtId="0" fontId="2" fillId="10" borderId="20" xfId="0" applyFont="1" applyFill="1" applyBorder="1" applyAlignment="1">
      <alignment horizontal="left" vertical="center"/>
    </xf>
    <xf numFmtId="0" fontId="2" fillId="10" borderId="19" xfId="0" applyFont="1" applyFill="1" applyBorder="1"/>
    <xf numFmtId="0" fontId="2" fillId="10" borderId="20" xfId="0" applyFont="1" applyFill="1" applyBorder="1"/>
    <xf numFmtId="0" fontId="2" fillId="0" borderId="58" xfId="0" applyFont="1" applyBorder="1"/>
    <xf numFmtId="0" fontId="2" fillId="0" borderId="76" xfId="0" applyFont="1" applyBorder="1"/>
    <xf numFmtId="0" fontId="4" fillId="15" borderId="91" xfId="0" applyFont="1" applyFill="1" applyBorder="1" applyAlignment="1">
      <alignment horizontal="center"/>
    </xf>
    <xf numFmtId="0" fontId="1" fillId="0" borderId="0" xfId="0" applyFont="1"/>
    <xf numFmtId="0" fontId="20" fillId="0" borderId="0" xfId="0" applyFont="1" applyProtection="1">
      <protection hidden="1"/>
    </xf>
    <xf numFmtId="0" fontId="6" fillId="11" borderId="10" xfId="0" applyFont="1" applyFill="1" applyBorder="1" applyProtection="1">
      <protection hidden="1"/>
    </xf>
    <xf numFmtId="0" fontId="3" fillId="11" borderId="10" xfId="0" applyFont="1" applyFill="1" applyBorder="1" applyProtection="1">
      <protection hidden="1"/>
    </xf>
    <xf numFmtId="0" fontId="30" fillId="0" borderId="10" xfId="0" applyFont="1" applyBorder="1" applyProtection="1">
      <protection hidden="1"/>
    </xf>
    <xf numFmtId="0" fontId="19" fillId="41" borderId="92" xfId="0" applyFont="1" applyFill="1" applyBorder="1" applyAlignment="1">
      <alignment horizontal="left" vertical="center" wrapText="1"/>
    </xf>
    <xf numFmtId="0" fontId="19" fillId="41" borderId="93" xfId="0" applyFont="1" applyFill="1" applyBorder="1" applyAlignment="1">
      <alignment horizontal="left" vertical="center" wrapText="1"/>
    </xf>
    <xf numFmtId="0" fontId="19" fillId="41" borderId="94" xfId="0" applyFont="1" applyFill="1" applyBorder="1" applyAlignment="1">
      <alignment horizontal="left" vertical="center" wrapText="1"/>
    </xf>
    <xf numFmtId="0" fontId="19" fillId="7" borderId="92" xfId="0" applyFont="1" applyFill="1" applyBorder="1" applyAlignment="1" applyProtection="1">
      <alignment horizontal="center" vertical="center"/>
      <protection locked="0"/>
    </xf>
    <xf numFmtId="0" fontId="19" fillId="7" borderId="93" xfId="0" applyFont="1" applyFill="1" applyBorder="1" applyAlignment="1" applyProtection="1">
      <alignment horizontal="center" vertical="center"/>
      <protection locked="0"/>
    </xf>
    <xf numFmtId="0" fontId="19" fillId="7" borderId="94" xfId="0" applyFont="1" applyFill="1" applyBorder="1" applyAlignment="1" applyProtection="1">
      <alignment horizontal="center" vertical="center"/>
      <protection locked="0"/>
    </xf>
    <xf numFmtId="0" fontId="19" fillId="12" borderId="92" xfId="0" applyFont="1" applyFill="1" applyBorder="1" applyAlignment="1">
      <alignment horizontal="left" vertical="center" wrapText="1"/>
    </xf>
    <xf numFmtId="0" fontId="19" fillId="12" borderId="93" xfId="0" applyFont="1" applyFill="1" applyBorder="1" applyAlignment="1">
      <alignment horizontal="left" vertical="center" wrapText="1"/>
    </xf>
    <xf numFmtId="0" fontId="19" fillId="11" borderId="92" xfId="0" applyFont="1" applyFill="1" applyBorder="1" applyAlignment="1" applyProtection="1">
      <alignment horizontal="center" vertical="center" wrapText="1"/>
      <protection locked="0"/>
    </xf>
    <xf numFmtId="0" fontId="19" fillId="11" borderId="93" xfId="0" applyFont="1" applyFill="1" applyBorder="1" applyAlignment="1" applyProtection="1">
      <alignment horizontal="center" vertical="center" wrapText="1"/>
      <protection locked="0"/>
    </xf>
    <xf numFmtId="0" fontId="19" fillId="11" borderId="94" xfId="0" applyFont="1" applyFill="1" applyBorder="1" applyAlignment="1" applyProtection="1">
      <alignment horizontal="center" vertical="center" wrapText="1"/>
      <protection locked="0"/>
    </xf>
    <xf numFmtId="2" fontId="20" fillId="0" borderId="91" xfId="0" applyNumberFormat="1" applyFont="1" applyBorder="1" applyAlignment="1">
      <alignment horizontal="center" vertical="center"/>
    </xf>
    <xf numFmtId="0" fontId="20" fillId="0" borderId="91" xfId="0" applyFont="1" applyBorder="1" applyAlignment="1">
      <alignment horizontal="center" vertical="center"/>
    </xf>
    <xf numFmtId="0" fontId="20" fillId="0" borderId="92" xfId="0" applyFont="1" applyBorder="1" applyAlignment="1">
      <alignment horizontal="center" vertical="center" wrapText="1"/>
    </xf>
    <xf numFmtId="0" fontId="20" fillId="0" borderId="93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vertical="center" wrapText="1"/>
    </xf>
    <xf numFmtId="0" fontId="20" fillId="0" borderId="92" xfId="0" applyFont="1" applyBorder="1" applyAlignment="1">
      <alignment horizontal="center" vertical="center"/>
    </xf>
    <xf numFmtId="0" fontId="20" fillId="0" borderId="93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2" fontId="20" fillId="0" borderId="92" xfId="0" applyNumberFormat="1" applyFont="1" applyBorder="1" applyAlignment="1">
      <alignment horizontal="center" vertical="center"/>
    </xf>
    <xf numFmtId="2" fontId="20" fillId="0" borderId="93" xfId="0" applyNumberFormat="1" applyFont="1" applyBorder="1" applyAlignment="1">
      <alignment horizontal="center" vertical="center"/>
    </xf>
    <xf numFmtId="2" fontId="20" fillId="0" borderId="94" xfId="0" applyNumberFormat="1" applyFont="1" applyBorder="1" applyAlignment="1">
      <alignment horizontal="center" vertical="center"/>
    </xf>
    <xf numFmtId="0" fontId="28" fillId="7" borderId="31" xfId="2" applyFont="1" applyFill="1" applyBorder="1" applyAlignment="1">
      <alignment horizontal="left" vertical="top" wrapText="1"/>
    </xf>
    <xf numFmtId="0" fontId="91" fillId="7" borderId="10" xfId="2" applyFont="1" applyFill="1" applyBorder="1" applyAlignment="1">
      <alignment horizontal="left" vertical="top" wrapText="1"/>
    </xf>
    <xf numFmtId="0" fontId="91" fillId="7" borderId="25" xfId="2" applyFont="1" applyFill="1" applyBorder="1" applyAlignment="1">
      <alignment horizontal="left" vertical="top" wrapText="1"/>
    </xf>
    <xf numFmtId="0" fontId="31" fillId="7" borderId="31" xfId="2" applyFill="1" applyBorder="1" applyAlignment="1">
      <alignment horizontal="left" vertical="top" wrapText="1"/>
    </xf>
    <xf numFmtId="0" fontId="46" fillId="7" borderId="10" xfId="2" applyFont="1" applyFill="1" applyBorder="1" applyAlignment="1">
      <alignment horizontal="left" vertical="top" wrapText="1"/>
    </xf>
    <xf numFmtId="0" fontId="46" fillId="7" borderId="25" xfId="2" applyFont="1" applyFill="1" applyBorder="1" applyAlignment="1">
      <alignment horizontal="left" vertical="top" wrapText="1"/>
    </xf>
    <xf numFmtId="0" fontId="35" fillId="8" borderId="10" xfId="0" applyFont="1" applyFill="1" applyBorder="1" applyAlignment="1" applyProtection="1">
      <alignment horizontal="left" vertical="center" wrapText="1"/>
      <protection hidden="1"/>
    </xf>
    <xf numFmtId="171" fontId="79" fillId="8" borderId="10" xfId="0" applyNumberFormat="1" applyFont="1" applyFill="1" applyBorder="1" applyAlignment="1">
      <alignment horizontal="right" vertical="center"/>
    </xf>
    <xf numFmtId="0" fontId="6" fillId="2" borderId="47" xfId="0" applyFont="1" applyFill="1" applyBorder="1" applyAlignment="1">
      <alignment horizontal="left"/>
    </xf>
    <xf numFmtId="0" fontId="6" fillId="2" borderId="43" xfId="0" applyFont="1" applyFill="1" applyBorder="1" applyAlignment="1">
      <alignment horizontal="left"/>
    </xf>
    <xf numFmtId="0" fontId="3" fillId="2" borderId="92" xfId="0" applyFont="1" applyFill="1" applyBorder="1" applyAlignment="1">
      <alignment horizontal="center"/>
    </xf>
    <xf numFmtId="0" fontId="3" fillId="2" borderId="94" xfId="0" applyFont="1" applyFill="1" applyBorder="1" applyAlignment="1">
      <alignment horizontal="center"/>
    </xf>
    <xf numFmtId="173" fontId="85" fillId="8" borderId="92" xfId="0" applyNumberFormat="1" applyFont="1" applyFill="1" applyBorder="1" applyAlignment="1" applyProtection="1">
      <alignment horizontal="left" vertical="center"/>
      <protection locked="0" hidden="1"/>
    </xf>
    <xf numFmtId="173" fontId="85" fillId="8" borderId="93" xfId="0" applyNumberFormat="1" applyFont="1" applyFill="1" applyBorder="1" applyAlignment="1" applyProtection="1">
      <alignment horizontal="left" vertical="center"/>
      <protection locked="0" hidden="1"/>
    </xf>
    <xf numFmtId="173" fontId="85" fillId="8" borderId="94" xfId="0" applyNumberFormat="1" applyFont="1" applyFill="1" applyBorder="1" applyAlignment="1" applyProtection="1">
      <alignment horizontal="left" vertical="center"/>
      <protection locked="0" hidden="1"/>
    </xf>
    <xf numFmtId="0" fontId="83" fillId="10" borderId="92" xfId="0" applyFont="1" applyFill="1" applyBorder="1" applyAlignment="1" applyProtection="1">
      <alignment horizontal="center" vertical="center"/>
      <protection hidden="1"/>
    </xf>
    <xf numFmtId="0" fontId="83" fillId="10" borderId="93" xfId="0" applyFont="1" applyFill="1" applyBorder="1" applyAlignment="1" applyProtection="1">
      <alignment horizontal="center" vertical="center"/>
      <protection hidden="1"/>
    </xf>
    <xf numFmtId="0" fontId="3" fillId="12" borderId="92" xfId="0" applyFont="1" applyFill="1" applyBorder="1" applyAlignment="1">
      <alignment horizontal="left" vertical="center"/>
    </xf>
    <xf numFmtId="0" fontId="3" fillId="12" borderId="93" xfId="0" applyFont="1" applyFill="1" applyBorder="1" applyAlignment="1">
      <alignment horizontal="left" vertical="center"/>
    </xf>
    <xf numFmtId="0" fontId="3" fillId="12" borderId="94" xfId="0" applyFont="1" applyFill="1" applyBorder="1" applyAlignment="1">
      <alignment horizontal="left" vertical="center"/>
    </xf>
    <xf numFmtId="173" fontId="3" fillId="2" borderId="92" xfId="0" applyNumberFormat="1" applyFont="1" applyFill="1" applyBorder="1" applyAlignment="1">
      <alignment horizontal="center"/>
    </xf>
    <xf numFmtId="173" fontId="3" fillId="2" borderId="93" xfId="0" applyNumberFormat="1" applyFont="1" applyFill="1" applyBorder="1" applyAlignment="1">
      <alignment horizontal="center"/>
    </xf>
    <xf numFmtId="173" fontId="3" fillId="2" borderId="94" xfId="0" applyNumberFormat="1" applyFont="1" applyFill="1" applyBorder="1" applyAlignment="1">
      <alignment horizontal="center"/>
    </xf>
    <xf numFmtId="173" fontId="20" fillId="0" borderId="92" xfId="0" applyNumberFormat="1" applyFont="1" applyBorder="1" applyAlignment="1" applyProtection="1">
      <alignment horizontal="center" vertical="center"/>
      <protection locked="0"/>
    </xf>
    <xf numFmtId="173" fontId="20" fillId="0" borderId="93" xfId="0" applyNumberFormat="1" applyFont="1" applyBorder="1" applyAlignment="1" applyProtection="1">
      <alignment horizontal="center" vertical="center"/>
      <protection locked="0"/>
    </xf>
    <xf numFmtId="173" fontId="20" fillId="0" borderId="94" xfId="0" applyNumberFormat="1" applyFont="1" applyBorder="1" applyAlignment="1" applyProtection="1">
      <alignment horizontal="center" vertical="center"/>
      <protection locked="0"/>
    </xf>
    <xf numFmtId="0" fontId="19" fillId="0" borderId="92" xfId="0" applyFont="1" applyBorder="1" applyAlignment="1" applyProtection="1">
      <alignment horizontal="center" vertical="center"/>
      <protection locked="0"/>
    </xf>
    <xf numFmtId="0" fontId="19" fillId="0" borderId="93" xfId="0" applyFont="1" applyBorder="1" applyAlignment="1" applyProtection="1">
      <alignment horizontal="center" vertical="center"/>
      <protection locked="0"/>
    </xf>
    <xf numFmtId="0" fontId="19" fillId="0" borderId="94" xfId="0" applyFont="1" applyBorder="1" applyAlignment="1" applyProtection="1">
      <alignment horizontal="center" vertical="center"/>
      <protection locked="0"/>
    </xf>
    <xf numFmtId="0" fontId="3" fillId="7" borderId="92" xfId="0" applyFont="1" applyFill="1" applyBorder="1" applyAlignment="1" applyProtection="1">
      <alignment horizontal="center" vertical="center"/>
      <protection locked="0"/>
    </xf>
    <xf numFmtId="0" fontId="3" fillId="7" borderId="93" xfId="0" applyFont="1" applyFill="1" applyBorder="1" applyAlignment="1" applyProtection="1">
      <alignment horizontal="center" vertical="center"/>
      <protection locked="0"/>
    </xf>
    <xf numFmtId="0" fontId="3" fillId="7" borderId="94" xfId="0" applyFont="1" applyFill="1" applyBorder="1" applyAlignment="1" applyProtection="1">
      <alignment horizontal="center" vertical="center"/>
      <protection locked="0"/>
    </xf>
    <xf numFmtId="0" fontId="3" fillId="2" borderId="32" xfId="0" applyFont="1" applyFill="1" applyBorder="1" applyAlignment="1">
      <alignment horizontal="right" vertical="center"/>
    </xf>
    <xf numFmtId="0" fontId="3" fillId="2" borderId="93" xfId="0" applyFont="1" applyFill="1" applyBorder="1" applyAlignment="1">
      <alignment horizontal="right" vertical="center"/>
    </xf>
    <xf numFmtId="0" fontId="3" fillId="2" borderId="94" xfId="0" applyFont="1" applyFill="1" applyBorder="1" applyAlignment="1">
      <alignment horizontal="right" vertical="center"/>
    </xf>
    <xf numFmtId="0" fontId="3" fillId="2" borderId="92" xfId="0" applyFont="1" applyFill="1" applyBorder="1" applyAlignment="1">
      <alignment horizontal="left" vertical="center"/>
    </xf>
    <xf numFmtId="0" fontId="3" fillId="2" borderId="93" xfId="0" applyFont="1" applyFill="1" applyBorder="1" applyAlignment="1">
      <alignment horizontal="left" vertical="center"/>
    </xf>
    <xf numFmtId="0" fontId="3" fillId="2" borderId="94" xfId="0" applyFont="1" applyFill="1" applyBorder="1" applyAlignment="1">
      <alignment horizontal="left" vertical="center"/>
    </xf>
    <xf numFmtId="170" fontId="20" fillId="8" borderId="106" xfId="0" applyNumberFormat="1" applyFont="1" applyFill="1" applyBorder="1" applyAlignment="1" applyProtection="1">
      <alignment horizontal="center"/>
      <protection locked="0"/>
    </xf>
    <xf numFmtId="170" fontId="20" fillId="8" borderId="107" xfId="0" applyNumberFormat="1" applyFont="1" applyFill="1" applyBorder="1" applyAlignment="1" applyProtection="1">
      <alignment horizontal="center"/>
      <protection locked="0"/>
    </xf>
    <xf numFmtId="170" fontId="20" fillId="8" borderId="108" xfId="0" applyNumberFormat="1" applyFont="1" applyFill="1" applyBorder="1" applyAlignment="1" applyProtection="1">
      <alignment horizontal="center"/>
      <protection locked="0"/>
    </xf>
    <xf numFmtId="14" fontId="3" fillId="0" borderId="106" xfId="0" applyNumberFormat="1" applyFont="1" applyBorder="1" applyAlignment="1" applyProtection="1">
      <alignment horizontal="center"/>
      <protection locked="0"/>
    </xf>
    <xf numFmtId="14" fontId="3" fillId="0" borderId="107" xfId="0" applyNumberFormat="1" applyFont="1" applyBorder="1" applyAlignment="1" applyProtection="1">
      <alignment horizontal="center"/>
      <protection locked="0"/>
    </xf>
    <xf numFmtId="14" fontId="3" fillId="0" borderId="108" xfId="0" applyNumberFormat="1" applyFont="1" applyBorder="1" applyAlignment="1" applyProtection="1">
      <alignment horizontal="center"/>
      <protection locked="0"/>
    </xf>
    <xf numFmtId="0" fontId="3" fillId="18" borderId="109" xfId="0" applyFont="1" applyFill="1" applyBorder="1" applyAlignment="1">
      <alignment horizontal="left"/>
    </xf>
    <xf numFmtId="0" fontId="3" fillId="18" borderId="110" xfId="0" applyFont="1" applyFill="1" applyBorder="1" applyAlignment="1">
      <alignment horizontal="left"/>
    </xf>
    <xf numFmtId="0" fontId="3" fillId="18" borderId="111" xfId="0" applyFont="1" applyFill="1" applyBorder="1" applyAlignment="1">
      <alignment horizontal="left"/>
    </xf>
    <xf numFmtId="0" fontId="3" fillId="18" borderId="92" xfId="0" applyFont="1" applyFill="1" applyBorder="1" applyAlignment="1">
      <alignment horizontal="center" vertical="center"/>
    </xf>
    <xf numFmtId="0" fontId="3" fillId="18" borderId="93" xfId="0" applyFont="1" applyFill="1" applyBorder="1" applyAlignment="1">
      <alignment horizontal="center" vertical="center"/>
    </xf>
    <xf numFmtId="0" fontId="3" fillId="18" borderId="94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left"/>
    </xf>
    <xf numFmtId="0" fontId="3" fillId="2" borderId="94" xfId="0" applyFont="1" applyFill="1" applyBorder="1" applyAlignment="1">
      <alignment horizontal="left"/>
    </xf>
    <xf numFmtId="173" fontId="20" fillId="10" borderId="92" xfId="0" applyNumberFormat="1" applyFont="1" applyFill="1" applyBorder="1" applyAlignment="1">
      <alignment horizontal="center" vertical="center"/>
    </xf>
    <xf numFmtId="173" fontId="20" fillId="10" borderId="93" xfId="0" applyNumberFormat="1" applyFont="1" applyFill="1" applyBorder="1" applyAlignment="1">
      <alignment horizontal="center" vertical="center"/>
    </xf>
    <xf numFmtId="173" fontId="20" fillId="10" borderId="94" xfId="0" applyNumberFormat="1" applyFont="1" applyFill="1" applyBorder="1" applyAlignment="1">
      <alignment horizontal="center" vertical="center"/>
    </xf>
    <xf numFmtId="0" fontId="3" fillId="10" borderId="105" xfId="0" applyFont="1" applyFill="1" applyBorder="1" applyAlignment="1">
      <alignment horizontal="center"/>
    </xf>
    <xf numFmtId="0" fontId="3" fillId="18" borderId="105" xfId="0" applyFont="1" applyFill="1" applyBorder="1" applyAlignment="1">
      <alignment horizontal="left"/>
    </xf>
    <xf numFmtId="0" fontId="3" fillId="2" borderId="105" xfId="0" applyFont="1" applyFill="1" applyBorder="1" applyAlignment="1">
      <alignment horizontal="left"/>
    </xf>
    <xf numFmtId="170" fontId="20" fillId="0" borderId="105" xfId="0" applyNumberFormat="1" applyFont="1" applyBorder="1" applyAlignment="1" applyProtection="1">
      <alignment horizontal="center"/>
      <protection locked="0"/>
    </xf>
    <xf numFmtId="170" fontId="3" fillId="8" borderId="92" xfId="0" applyNumberFormat="1" applyFont="1" applyFill="1" applyBorder="1" applyAlignment="1" applyProtection="1">
      <alignment horizontal="center" vertical="center"/>
      <protection locked="0"/>
    </xf>
    <xf numFmtId="170" fontId="3" fillId="8" borderId="93" xfId="0" applyNumberFormat="1" applyFont="1" applyFill="1" applyBorder="1" applyAlignment="1" applyProtection="1">
      <alignment horizontal="center" vertical="center"/>
      <protection locked="0"/>
    </xf>
    <xf numFmtId="170" fontId="3" fillId="8" borderId="94" xfId="0" applyNumberFormat="1" applyFont="1" applyFill="1" applyBorder="1" applyAlignment="1" applyProtection="1">
      <alignment horizontal="center" vertical="center"/>
      <protection locked="0"/>
    </xf>
    <xf numFmtId="0" fontId="28" fillId="10" borderId="55" xfId="0" applyFont="1" applyFill="1" applyBorder="1" applyAlignment="1">
      <alignment horizontal="left" vertical="center" wrapText="1"/>
    </xf>
    <xf numFmtId="0" fontId="28" fillId="10" borderId="56" xfId="0" applyFont="1" applyFill="1" applyBorder="1" applyAlignment="1">
      <alignment horizontal="left" vertical="center" wrapText="1"/>
    </xf>
    <xf numFmtId="0" fontId="28" fillId="10" borderId="57" xfId="0" applyFont="1" applyFill="1" applyBorder="1" applyAlignment="1">
      <alignment horizontal="left" vertical="center" wrapText="1"/>
    </xf>
    <xf numFmtId="0" fontId="19" fillId="35" borderId="92" xfId="0" applyFont="1" applyFill="1" applyBorder="1" applyAlignment="1" applyProtection="1">
      <alignment horizontal="center" vertical="center" wrapText="1"/>
      <protection locked="0"/>
    </xf>
    <xf numFmtId="0" fontId="19" fillId="35" borderId="93" xfId="0" applyFont="1" applyFill="1" applyBorder="1" applyAlignment="1" applyProtection="1">
      <alignment horizontal="center" vertical="center" wrapText="1"/>
      <protection locked="0"/>
    </xf>
    <xf numFmtId="0" fontId="19" fillId="35" borderId="94" xfId="0" applyFont="1" applyFill="1" applyBorder="1" applyAlignment="1" applyProtection="1">
      <alignment horizontal="center" vertical="center" wrapText="1"/>
      <protection locked="0"/>
    </xf>
    <xf numFmtId="0" fontId="19" fillId="0" borderId="105" xfId="0" applyFont="1" applyBorder="1"/>
    <xf numFmtId="0" fontId="6" fillId="2" borderId="92" xfId="0" applyFont="1" applyFill="1" applyBorder="1" applyAlignment="1">
      <alignment horizontal="center" vertical="center"/>
    </xf>
    <xf numFmtId="0" fontId="6" fillId="2" borderId="93" xfId="0" applyFont="1" applyFill="1" applyBorder="1" applyAlignment="1">
      <alignment horizontal="center" vertical="center"/>
    </xf>
    <xf numFmtId="0" fontId="6" fillId="2" borderId="94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left"/>
    </xf>
    <xf numFmtId="0" fontId="6" fillId="2" borderId="100" xfId="0" applyFont="1" applyFill="1" applyBorder="1" applyAlignment="1">
      <alignment horizontal="left" vertical="center"/>
    </xf>
    <xf numFmtId="0" fontId="6" fillId="2" borderId="95" xfId="0" applyFont="1" applyFill="1" applyBorder="1" applyAlignment="1">
      <alignment horizontal="left" vertical="center"/>
    </xf>
    <xf numFmtId="0" fontId="3" fillId="0" borderId="97" xfId="0" applyFont="1" applyBorder="1"/>
    <xf numFmtId="0" fontId="6" fillId="2" borderId="31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3" fillId="0" borderId="25" xfId="0" applyFont="1" applyBorder="1"/>
    <xf numFmtId="0" fontId="3" fillId="0" borderId="30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91" xfId="0" applyFont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>
      <alignment horizontal="left"/>
    </xf>
    <xf numFmtId="0" fontId="3" fillId="2" borderId="93" xfId="0" applyFont="1" applyFill="1" applyBorder="1" applyAlignment="1">
      <alignment horizontal="center"/>
    </xf>
    <xf numFmtId="0" fontId="3" fillId="8" borderId="106" xfId="0" applyFont="1" applyFill="1" applyBorder="1" applyAlignment="1" applyProtection="1">
      <alignment horizontal="center" vertical="center"/>
      <protection locked="0"/>
    </xf>
    <xf numFmtId="0" fontId="3" fillId="8" borderId="107" xfId="0" applyFont="1" applyFill="1" applyBorder="1" applyAlignment="1" applyProtection="1">
      <alignment horizontal="center" vertical="center"/>
      <protection locked="0"/>
    </xf>
    <xf numFmtId="0" fontId="3" fillId="8" borderId="108" xfId="0" applyFont="1" applyFill="1" applyBorder="1" applyAlignment="1" applyProtection="1">
      <alignment horizontal="center" vertical="center"/>
      <protection locked="0"/>
    </xf>
    <xf numFmtId="0" fontId="6" fillId="12" borderId="92" xfId="0" applyFont="1" applyFill="1" applyBorder="1" applyAlignment="1">
      <alignment horizontal="left" vertical="center" wrapText="1"/>
    </xf>
    <xf numFmtId="0" fontId="6" fillId="12" borderId="93" xfId="0" applyFont="1" applyFill="1" applyBorder="1" applyAlignment="1">
      <alignment horizontal="left" vertical="center" wrapText="1"/>
    </xf>
    <xf numFmtId="0" fontId="6" fillId="12" borderId="94" xfId="0" applyFont="1" applyFill="1" applyBorder="1" applyAlignment="1">
      <alignment horizontal="left" vertical="center" wrapText="1"/>
    </xf>
    <xf numFmtId="0" fontId="20" fillId="10" borderId="92" xfId="0" applyFont="1" applyFill="1" applyBorder="1" applyAlignment="1">
      <alignment horizontal="center"/>
    </xf>
    <xf numFmtId="0" fontId="20" fillId="10" borderId="93" xfId="0" applyFont="1" applyFill="1" applyBorder="1" applyAlignment="1">
      <alignment horizontal="center"/>
    </xf>
    <xf numFmtId="0" fontId="20" fillId="10" borderId="94" xfId="0" applyFont="1" applyFill="1" applyBorder="1" applyAlignment="1">
      <alignment horizontal="center"/>
    </xf>
    <xf numFmtId="0" fontId="19" fillId="12" borderId="94" xfId="0" applyFont="1" applyFill="1" applyBorder="1" applyAlignment="1">
      <alignment horizontal="left" vertical="center" wrapText="1"/>
    </xf>
    <xf numFmtId="0" fontId="19" fillId="12" borderId="92" xfId="0" applyFont="1" applyFill="1" applyBorder="1" applyAlignment="1">
      <alignment horizontal="left" vertical="center"/>
    </xf>
    <xf numFmtId="0" fontId="19" fillId="12" borderId="93" xfId="0" applyFont="1" applyFill="1" applyBorder="1" applyAlignment="1">
      <alignment horizontal="left" vertical="center"/>
    </xf>
    <xf numFmtId="0" fontId="19" fillId="12" borderId="94" xfId="0" applyFont="1" applyFill="1" applyBorder="1" applyAlignment="1">
      <alignment horizontal="left" vertical="center"/>
    </xf>
    <xf numFmtId="0" fontId="20" fillId="10" borderId="106" xfId="0" applyFont="1" applyFill="1" applyBorder="1" applyAlignment="1">
      <alignment horizontal="center"/>
    </xf>
    <xf numFmtId="0" fontId="20" fillId="10" borderId="107" xfId="0" applyFont="1" applyFill="1" applyBorder="1" applyAlignment="1">
      <alignment horizontal="center"/>
    </xf>
    <xf numFmtId="0" fontId="20" fillId="10" borderId="108" xfId="0" applyFont="1" applyFill="1" applyBorder="1" applyAlignment="1">
      <alignment horizontal="center"/>
    </xf>
    <xf numFmtId="0" fontId="84" fillId="8" borderId="10" xfId="0" applyFont="1" applyFill="1" applyBorder="1" applyAlignment="1" applyProtection="1">
      <alignment horizontal="center"/>
      <protection locked="0"/>
    </xf>
    <xf numFmtId="0" fontId="6" fillId="2" borderId="100" xfId="0" applyFont="1" applyFill="1" applyBorder="1" applyAlignment="1">
      <alignment horizontal="center" vertical="center"/>
    </xf>
    <xf numFmtId="0" fontId="6" fillId="2" borderId="95" xfId="0" applyFont="1" applyFill="1" applyBorder="1" applyAlignment="1">
      <alignment horizontal="center" vertical="center"/>
    </xf>
    <xf numFmtId="0" fontId="6" fillId="2" borderId="97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22" fillId="8" borderId="10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6" fillId="2" borderId="97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left" vertical="center"/>
    </xf>
    <xf numFmtId="0" fontId="6" fillId="18" borderId="92" xfId="0" applyFont="1" applyFill="1" applyBorder="1" applyAlignment="1">
      <alignment horizontal="center" vertical="center"/>
    </xf>
    <xf numFmtId="0" fontId="6" fillId="18" borderId="93" xfId="0" applyFont="1" applyFill="1" applyBorder="1" applyAlignment="1">
      <alignment horizontal="center" vertical="center"/>
    </xf>
    <xf numFmtId="0" fontId="6" fillId="18" borderId="94" xfId="0" applyFont="1" applyFill="1" applyBorder="1" applyAlignment="1">
      <alignment horizontal="center" vertical="center"/>
    </xf>
    <xf numFmtId="178" fontId="85" fillId="8" borderId="92" xfId="0" applyNumberFormat="1" applyFont="1" applyFill="1" applyBorder="1" applyAlignment="1" applyProtection="1">
      <alignment horizontal="center" vertical="center"/>
      <protection locked="0" hidden="1"/>
    </xf>
    <xf numFmtId="178" fontId="85" fillId="8" borderId="93" xfId="0" applyNumberFormat="1" applyFont="1" applyFill="1" applyBorder="1" applyAlignment="1" applyProtection="1">
      <alignment horizontal="center" vertical="center"/>
      <protection locked="0" hidden="1"/>
    </xf>
    <xf numFmtId="178" fontId="85" fillId="8" borderId="91" xfId="0" applyNumberFormat="1" applyFont="1" applyFill="1" applyBorder="1" applyAlignment="1" applyProtection="1">
      <alignment horizontal="center" vertical="center"/>
      <protection locked="0" hidden="1"/>
    </xf>
    <xf numFmtId="173" fontId="85" fillId="8" borderId="92" xfId="0" applyNumberFormat="1" applyFont="1" applyFill="1" applyBorder="1" applyAlignment="1" applyProtection="1">
      <alignment horizontal="right" vertical="center"/>
      <protection locked="0" hidden="1"/>
    </xf>
    <xf numFmtId="173" fontId="85" fillId="8" borderId="93" xfId="0" applyNumberFormat="1" applyFont="1" applyFill="1" applyBorder="1" applyAlignment="1" applyProtection="1">
      <alignment horizontal="right" vertical="center"/>
      <protection locked="0" hidden="1"/>
    </xf>
    <xf numFmtId="173" fontId="85" fillId="8" borderId="94" xfId="0" applyNumberFormat="1" applyFont="1" applyFill="1" applyBorder="1" applyAlignment="1" applyProtection="1">
      <alignment horizontal="right" vertical="center"/>
      <protection locked="0" hidden="1"/>
    </xf>
    <xf numFmtId="0" fontId="35" fillId="23" borderId="27" xfId="0" applyFont="1" applyFill="1" applyBorder="1" applyAlignment="1">
      <alignment horizontal="left" vertical="center" wrapText="1"/>
    </xf>
    <xf numFmtId="0" fontId="3" fillId="2" borderId="91" xfId="0" applyFont="1" applyFill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3" fillId="8" borderId="56" xfId="0" applyFont="1" applyFill="1" applyBorder="1" applyAlignment="1">
      <alignment horizontal="center"/>
    </xf>
    <xf numFmtId="0" fontId="3" fillId="8" borderId="57" xfId="0" applyFont="1" applyFill="1" applyBorder="1" applyAlignment="1">
      <alignment horizontal="center"/>
    </xf>
    <xf numFmtId="0" fontId="3" fillId="18" borderId="91" xfId="0" applyFont="1" applyFill="1" applyBorder="1" applyAlignment="1">
      <alignment horizontal="left" vertical="center"/>
    </xf>
    <xf numFmtId="0" fontId="3" fillId="7" borderId="91" xfId="0" applyFont="1" applyFill="1" applyBorder="1" applyAlignment="1" applyProtection="1">
      <alignment horizontal="center" vertical="center"/>
      <protection locked="0"/>
    </xf>
    <xf numFmtId="0" fontId="3" fillId="7" borderId="100" xfId="0" applyFont="1" applyFill="1" applyBorder="1" applyAlignment="1" applyProtection="1">
      <alignment horizontal="center" vertical="center"/>
      <protection locked="0"/>
    </xf>
    <xf numFmtId="0" fontId="3" fillId="7" borderId="95" xfId="0" applyFont="1" applyFill="1" applyBorder="1" applyAlignment="1" applyProtection="1">
      <alignment horizontal="center" vertical="center"/>
      <protection locked="0"/>
    </xf>
    <xf numFmtId="0" fontId="3" fillId="7" borderId="97" xfId="0" applyFont="1" applyFill="1" applyBorder="1" applyAlignment="1" applyProtection="1">
      <alignment horizontal="center" vertical="center"/>
      <protection locked="0"/>
    </xf>
    <xf numFmtId="0" fontId="3" fillId="7" borderId="31" xfId="0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25" xfId="0" applyFont="1" applyFill="1" applyBorder="1" applyAlignment="1" applyProtection="1">
      <alignment horizontal="center" vertical="center"/>
      <protection locked="0"/>
    </xf>
    <xf numFmtId="0" fontId="3" fillId="7" borderId="30" xfId="0" applyFont="1" applyFill="1" applyBorder="1" applyAlignment="1" applyProtection="1">
      <alignment horizontal="center" vertical="center"/>
      <protection locked="0"/>
    </xf>
    <xf numFmtId="0" fontId="3" fillId="7" borderId="27" xfId="0" applyFont="1" applyFill="1" applyBorder="1" applyAlignment="1" applyProtection="1">
      <alignment horizontal="center" vertical="center"/>
      <protection locked="0"/>
    </xf>
    <xf numFmtId="0" fontId="3" fillId="7" borderId="28" xfId="0" applyFont="1" applyFill="1" applyBorder="1" applyAlignment="1" applyProtection="1">
      <alignment horizontal="center" vertical="center"/>
      <protection locked="0"/>
    </xf>
    <xf numFmtId="0" fontId="3" fillId="2" borderId="92" xfId="0" applyFont="1" applyFill="1" applyBorder="1" applyAlignment="1">
      <alignment horizontal="left"/>
    </xf>
    <xf numFmtId="0" fontId="3" fillId="0" borderId="92" xfId="0" applyFont="1" applyBorder="1" applyAlignment="1" applyProtection="1">
      <alignment horizontal="left"/>
      <protection locked="0"/>
    </xf>
    <xf numFmtId="0" fontId="3" fillId="0" borderId="93" xfId="0" applyFont="1" applyBorder="1" applyAlignment="1" applyProtection="1">
      <alignment horizontal="left"/>
      <protection locked="0"/>
    </xf>
    <xf numFmtId="0" fontId="3" fillId="0" borderId="94" xfId="0" applyFont="1" applyBorder="1" applyAlignment="1" applyProtection="1">
      <alignment horizontal="left"/>
      <protection locked="0"/>
    </xf>
    <xf numFmtId="0" fontId="3" fillId="18" borderId="91" xfId="0" applyFont="1" applyFill="1" applyBorder="1" applyAlignment="1">
      <alignment horizontal="left" vertical="center" wrapText="1"/>
    </xf>
    <xf numFmtId="0" fontId="35" fillId="23" borderId="10" xfId="0" applyFont="1" applyFill="1" applyBorder="1" applyAlignment="1">
      <alignment horizontal="left" vertical="center" wrapText="1"/>
    </xf>
    <xf numFmtId="0" fontId="0" fillId="0" borderId="91" xfId="0" applyBorder="1" applyAlignment="1" applyProtection="1">
      <alignment horizontal="center"/>
      <protection locked="0"/>
    </xf>
    <xf numFmtId="169" fontId="3" fillId="18" borderId="92" xfId="0" applyNumberFormat="1" applyFont="1" applyFill="1" applyBorder="1" applyAlignment="1">
      <alignment horizontal="left" vertical="center"/>
    </xf>
    <xf numFmtId="169" fontId="3" fillId="18" borderId="93" xfId="0" applyNumberFormat="1" applyFont="1" applyFill="1" applyBorder="1" applyAlignment="1">
      <alignment horizontal="left" vertical="center"/>
    </xf>
    <xf numFmtId="169" fontId="3" fillId="18" borderId="94" xfId="0" applyNumberFormat="1" applyFont="1" applyFill="1" applyBorder="1" applyAlignment="1">
      <alignment horizontal="left" vertical="center"/>
    </xf>
    <xf numFmtId="184" fontId="3" fillId="0" borderId="92" xfId="0" applyNumberFormat="1" applyFont="1" applyBorder="1" applyAlignment="1" applyProtection="1">
      <alignment horizontal="center"/>
      <protection locked="0"/>
    </xf>
    <xf numFmtId="184" fontId="3" fillId="0" borderId="93" xfId="0" applyNumberFormat="1" applyFont="1" applyBorder="1" applyAlignment="1" applyProtection="1">
      <alignment horizontal="center"/>
      <protection locked="0"/>
    </xf>
    <xf numFmtId="184" fontId="3" fillId="0" borderId="94" xfId="0" applyNumberFormat="1" applyFont="1" applyBorder="1" applyAlignment="1" applyProtection="1">
      <alignment horizontal="center"/>
      <protection locked="0"/>
    </xf>
    <xf numFmtId="184" fontId="20" fillId="0" borderId="92" xfId="0" applyNumberFormat="1" applyFont="1" applyBorder="1" applyAlignment="1" applyProtection="1">
      <alignment horizontal="center"/>
      <protection locked="0"/>
    </xf>
    <xf numFmtId="184" fontId="20" fillId="0" borderId="93" xfId="0" applyNumberFormat="1" applyFont="1" applyBorder="1" applyAlignment="1" applyProtection="1">
      <alignment horizontal="center"/>
      <protection locked="0"/>
    </xf>
    <xf numFmtId="184" fontId="20" fillId="0" borderId="94" xfId="0" applyNumberFormat="1" applyFont="1" applyBorder="1" applyAlignment="1" applyProtection="1">
      <alignment horizontal="center"/>
      <protection locked="0"/>
    </xf>
    <xf numFmtId="0" fontId="3" fillId="18" borderId="100" xfId="0" applyFont="1" applyFill="1" applyBorder="1" applyAlignment="1">
      <alignment horizontal="left"/>
    </xf>
    <xf numFmtId="0" fontId="3" fillId="18" borderId="95" xfId="0" applyFont="1" applyFill="1" applyBorder="1" applyAlignment="1">
      <alignment horizontal="left"/>
    </xf>
    <xf numFmtId="0" fontId="3" fillId="18" borderId="97" xfId="0" applyFont="1" applyFill="1" applyBorder="1" applyAlignment="1">
      <alignment horizontal="left"/>
    </xf>
    <xf numFmtId="0" fontId="3" fillId="10" borderId="92" xfId="0" applyFont="1" applyFill="1" applyBorder="1" applyAlignment="1">
      <alignment horizontal="center"/>
    </xf>
    <xf numFmtId="0" fontId="3" fillId="10" borderId="93" xfId="0" applyFont="1" applyFill="1" applyBorder="1" applyAlignment="1">
      <alignment horizontal="center"/>
    </xf>
    <xf numFmtId="0" fontId="3" fillId="10" borderId="94" xfId="0" applyFont="1" applyFill="1" applyBorder="1" applyAlignment="1">
      <alignment horizontal="center"/>
    </xf>
    <xf numFmtId="0" fontId="3" fillId="7" borderId="92" xfId="0" applyFont="1" applyFill="1" applyBorder="1" applyAlignment="1" applyProtection="1">
      <alignment horizontal="center"/>
      <protection locked="0"/>
    </xf>
    <xf numFmtId="0" fontId="3" fillId="7" borderId="93" xfId="0" applyFont="1" applyFill="1" applyBorder="1" applyAlignment="1" applyProtection="1">
      <alignment horizontal="center"/>
      <protection locked="0"/>
    </xf>
    <xf numFmtId="0" fontId="3" fillId="7" borderId="94" xfId="0" applyFont="1" applyFill="1" applyBorder="1" applyAlignment="1" applyProtection="1">
      <alignment horizontal="center"/>
      <protection locked="0"/>
    </xf>
    <xf numFmtId="0" fontId="3" fillId="2" borderId="91" xfId="0" applyFont="1" applyFill="1" applyBorder="1" applyAlignment="1">
      <alignment horizontal="center"/>
    </xf>
    <xf numFmtId="0" fontId="6" fillId="0" borderId="76" xfId="0" applyFont="1" applyBorder="1" applyAlignment="1">
      <alignment horizontal="center" vertical="center"/>
    </xf>
    <xf numFmtId="0" fontId="19" fillId="10" borderId="32" xfId="0" applyFont="1" applyFill="1" applyBorder="1" applyAlignment="1">
      <alignment horizontal="center"/>
    </xf>
    <xf numFmtId="0" fontId="19" fillId="10" borderId="27" xfId="0" applyFont="1" applyFill="1" applyBorder="1" applyAlignment="1">
      <alignment horizontal="center"/>
    </xf>
    <xf numFmtId="0" fontId="19" fillId="10" borderId="104" xfId="0" applyFont="1" applyFill="1" applyBorder="1" applyAlignment="1">
      <alignment horizontal="center"/>
    </xf>
    <xf numFmtId="185" fontId="19" fillId="8" borderId="30" xfId="0" applyNumberFormat="1" applyFont="1" applyFill="1" applyBorder="1" applyAlignment="1" applyProtection="1">
      <alignment horizontal="center" vertical="center"/>
      <protection locked="0"/>
    </xf>
    <xf numFmtId="185" fontId="19" fillId="8" borderId="27" xfId="0" applyNumberFormat="1" applyFont="1" applyFill="1" applyBorder="1" applyAlignment="1" applyProtection="1">
      <alignment horizontal="center" vertical="center"/>
      <protection locked="0"/>
    </xf>
    <xf numFmtId="185" fontId="19" fillId="8" borderId="28" xfId="0" applyNumberFormat="1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>
      <alignment horizontal="left"/>
    </xf>
    <xf numFmtId="0" fontId="3" fillId="2" borderId="95" xfId="0" applyFont="1" applyFill="1" applyBorder="1" applyAlignment="1">
      <alignment horizontal="left"/>
    </xf>
    <xf numFmtId="0" fontId="3" fillId="2" borderId="97" xfId="0" applyFont="1" applyFill="1" applyBorder="1" applyAlignment="1">
      <alignment horizontal="left"/>
    </xf>
    <xf numFmtId="166" fontId="19" fillId="8" borderId="100" xfId="0" applyNumberFormat="1" applyFont="1" applyFill="1" applyBorder="1" applyAlignment="1" applyProtection="1">
      <alignment horizontal="left"/>
      <protection locked="0"/>
    </xf>
    <xf numFmtId="166" fontId="19" fillId="8" borderId="95" xfId="0" applyNumberFormat="1" applyFont="1" applyFill="1" applyBorder="1" applyAlignment="1" applyProtection="1">
      <alignment horizontal="left"/>
      <protection locked="0"/>
    </xf>
    <xf numFmtId="166" fontId="19" fillId="8" borderId="97" xfId="0" applyNumberFormat="1" applyFont="1" applyFill="1" applyBorder="1" applyAlignment="1" applyProtection="1">
      <alignment horizontal="left"/>
      <protection locked="0"/>
    </xf>
    <xf numFmtId="0" fontId="3" fillId="3" borderId="92" xfId="0" applyFont="1" applyFill="1" applyBorder="1" applyAlignment="1" applyProtection="1">
      <alignment horizontal="left"/>
      <protection locked="0"/>
    </xf>
    <xf numFmtId="0" fontId="3" fillId="3" borderId="93" xfId="0" applyFont="1" applyFill="1" applyBorder="1" applyAlignment="1" applyProtection="1">
      <alignment horizontal="left"/>
      <protection locked="0"/>
    </xf>
    <xf numFmtId="0" fontId="3" fillId="3" borderId="94" xfId="0" applyFont="1" applyFill="1" applyBorder="1" applyAlignment="1" applyProtection="1">
      <alignment horizontal="left"/>
      <protection locked="0"/>
    </xf>
    <xf numFmtId="167" fontId="19" fillId="10" borderId="92" xfId="0" applyNumberFormat="1" applyFont="1" applyFill="1" applyBorder="1" applyAlignment="1">
      <alignment horizontal="left" vertical="center"/>
    </xf>
    <xf numFmtId="167" fontId="19" fillId="10" borderId="93" xfId="0" applyNumberFormat="1" applyFont="1" applyFill="1" applyBorder="1" applyAlignment="1">
      <alignment horizontal="left" vertical="center"/>
    </xf>
    <xf numFmtId="167" fontId="19" fillId="10" borderId="94" xfId="0" applyNumberFormat="1" applyFont="1" applyFill="1" applyBorder="1" applyAlignment="1">
      <alignment horizontal="left" vertical="center"/>
    </xf>
    <xf numFmtId="0" fontId="6" fillId="7" borderId="31" xfId="0" applyFont="1" applyFill="1" applyBorder="1" applyAlignment="1">
      <alignment horizontal="left" vertical="top" wrapText="1"/>
    </xf>
    <xf numFmtId="0" fontId="6" fillId="7" borderId="10" xfId="0" applyFont="1" applyFill="1" applyBorder="1" applyAlignment="1">
      <alignment horizontal="left" vertical="top" wrapText="1"/>
    </xf>
    <xf numFmtId="0" fontId="6" fillId="7" borderId="25" xfId="0" applyFont="1" applyFill="1" applyBorder="1" applyAlignment="1">
      <alignment horizontal="left" vertical="top" wrapText="1"/>
    </xf>
    <xf numFmtId="0" fontId="33" fillId="0" borderId="0" xfId="0" applyFont="1" applyAlignment="1">
      <alignment horizontal="center" vertical="center"/>
    </xf>
    <xf numFmtId="0" fontId="34" fillId="12" borderId="92" xfId="0" applyFont="1" applyFill="1" applyBorder="1" applyAlignment="1">
      <alignment horizontal="center" vertical="center" wrapText="1"/>
    </xf>
    <xf numFmtId="0" fontId="34" fillId="12" borderId="93" xfId="0" applyFont="1" applyFill="1" applyBorder="1" applyAlignment="1">
      <alignment horizontal="center" vertical="center" wrapText="1"/>
    </xf>
    <xf numFmtId="0" fontId="34" fillId="12" borderId="94" xfId="0" applyFont="1" applyFill="1" applyBorder="1" applyAlignment="1">
      <alignment horizontal="center" vertical="center" wrapText="1"/>
    </xf>
    <xf numFmtId="0" fontId="35" fillId="22" borderId="100" xfId="0" applyFont="1" applyFill="1" applyBorder="1" applyAlignment="1">
      <alignment horizontal="center" vertical="center"/>
    </xf>
    <xf numFmtId="0" fontId="35" fillId="22" borderId="95" xfId="0" applyFont="1" applyFill="1" applyBorder="1" applyAlignment="1">
      <alignment horizontal="center" vertical="center"/>
    </xf>
    <xf numFmtId="0" fontId="35" fillId="22" borderId="97" xfId="0" applyFont="1" applyFill="1" applyBorder="1" applyAlignment="1">
      <alignment horizontal="center" vertical="center"/>
    </xf>
    <xf numFmtId="0" fontId="6" fillId="7" borderId="41" xfId="0" applyFont="1" applyFill="1" applyBorder="1" applyAlignment="1">
      <alignment horizontal="left" vertical="top" wrapText="1"/>
    </xf>
    <xf numFmtId="0" fontId="6" fillId="7" borderId="40" xfId="0" applyFont="1" applyFill="1" applyBorder="1" applyAlignment="1">
      <alignment horizontal="left" vertical="top" wrapText="1"/>
    </xf>
    <xf numFmtId="0" fontId="6" fillId="7" borderId="42" xfId="0" applyFont="1" applyFill="1" applyBorder="1" applyAlignment="1">
      <alignment horizontal="left" vertical="top" wrapText="1"/>
    </xf>
    <xf numFmtId="0" fontId="3" fillId="2" borderId="30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19" fillId="0" borderId="27" xfId="0" applyFont="1" applyBorder="1"/>
    <xf numFmtId="0" fontId="19" fillId="0" borderId="93" xfId="0" applyFont="1" applyBorder="1" applyAlignment="1">
      <alignment horizontal="left"/>
    </xf>
    <xf numFmtId="0" fontId="19" fillId="0" borderId="94" xfId="0" applyFont="1" applyBorder="1" applyAlignment="1">
      <alignment horizontal="left"/>
    </xf>
    <xf numFmtId="0" fontId="19" fillId="10" borderId="92" xfId="0" applyFont="1" applyFill="1" applyBorder="1" applyAlignment="1">
      <alignment horizontal="left" vertical="center"/>
    </xf>
    <xf numFmtId="0" fontId="19" fillId="10" borderId="93" xfId="0" applyFont="1" applyFill="1" applyBorder="1" applyAlignment="1">
      <alignment horizontal="left" vertical="center"/>
    </xf>
    <xf numFmtId="0" fontId="19" fillId="10" borderId="94" xfId="0" applyFont="1" applyFill="1" applyBorder="1" applyAlignment="1">
      <alignment horizontal="left" vertical="center"/>
    </xf>
    <xf numFmtId="182" fontId="19" fillId="8" borderId="92" xfId="0" applyNumberFormat="1" applyFont="1" applyFill="1" applyBorder="1" applyAlignment="1" applyProtection="1">
      <alignment horizontal="center" vertical="center"/>
      <protection locked="0"/>
    </xf>
    <xf numFmtId="182" fontId="19" fillId="8" borderId="93" xfId="0" applyNumberFormat="1" applyFont="1" applyFill="1" applyBorder="1" applyAlignment="1" applyProtection="1">
      <alignment horizontal="center" vertical="center"/>
      <protection locked="0"/>
    </xf>
    <xf numFmtId="182" fontId="19" fillId="8" borderId="94" xfId="0" applyNumberFormat="1" applyFont="1" applyFill="1" applyBorder="1" applyAlignment="1" applyProtection="1">
      <alignment horizontal="center" vertical="center"/>
      <protection locked="0"/>
    </xf>
    <xf numFmtId="167" fontId="3" fillId="7" borderId="79" xfId="0" applyNumberFormat="1" applyFont="1" applyFill="1" applyBorder="1" applyAlignment="1" applyProtection="1">
      <alignment horizontal="center" vertical="center"/>
      <protection locked="0"/>
    </xf>
    <xf numFmtId="167" fontId="3" fillId="7" borderId="43" xfId="0" applyNumberFormat="1" applyFont="1" applyFill="1" applyBorder="1" applyAlignment="1" applyProtection="1">
      <alignment horizontal="center" vertical="center"/>
      <protection locked="0"/>
    </xf>
    <xf numFmtId="167" fontId="3" fillId="7" borderId="44" xfId="0" applyNumberFormat="1" applyFont="1" applyFill="1" applyBorder="1" applyAlignment="1" applyProtection="1">
      <alignment horizontal="center" vertical="center"/>
      <protection locked="0"/>
    </xf>
    <xf numFmtId="0" fontId="8" fillId="4" borderId="10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 applyProtection="1">
      <alignment horizontal="center" vertical="center"/>
      <protection hidden="1"/>
    </xf>
    <xf numFmtId="0" fontId="3" fillId="2" borderId="93" xfId="0" applyFont="1" applyFill="1" applyBorder="1" applyAlignment="1" applyProtection="1">
      <alignment horizontal="center" vertical="center"/>
      <protection hidden="1"/>
    </xf>
    <xf numFmtId="0" fontId="3" fillId="2" borderId="94" xfId="0" applyFont="1" applyFill="1" applyBorder="1" applyAlignment="1" applyProtection="1">
      <alignment horizontal="center" vertical="center"/>
      <protection hidden="1"/>
    </xf>
    <xf numFmtId="0" fontId="3" fillId="3" borderId="92" xfId="0" applyFont="1" applyFill="1" applyBorder="1" applyAlignment="1" applyProtection="1">
      <alignment horizontal="center" vertical="center"/>
      <protection locked="0"/>
    </xf>
    <xf numFmtId="0" fontId="3" fillId="3" borderId="93" xfId="0" applyFont="1" applyFill="1" applyBorder="1" applyAlignment="1" applyProtection="1">
      <alignment horizontal="center" vertical="center"/>
      <protection locked="0"/>
    </xf>
    <xf numFmtId="0" fontId="36" fillId="7" borderId="0" xfId="0" applyFont="1" applyFill="1" applyAlignment="1">
      <alignment horizontal="center" vertical="top" wrapText="1"/>
    </xf>
    <xf numFmtId="0" fontId="46" fillId="7" borderId="31" xfId="2" applyFont="1" applyFill="1" applyBorder="1" applyAlignment="1">
      <alignment horizontal="left" vertical="top" wrapText="1"/>
    </xf>
    <xf numFmtId="0" fontId="29" fillId="7" borderId="31" xfId="0" applyFont="1" applyFill="1" applyBorder="1" applyAlignment="1">
      <alignment horizontal="left" vertical="top" wrapText="1"/>
    </xf>
    <xf numFmtId="0" fontId="29" fillId="7" borderId="10" xfId="0" applyFont="1" applyFill="1" applyBorder="1" applyAlignment="1">
      <alignment horizontal="left" vertical="top" wrapText="1"/>
    </xf>
    <xf numFmtId="0" fontId="29" fillId="7" borderId="25" xfId="0" applyFont="1" applyFill="1" applyBorder="1" applyAlignment="1">
      <alignment horizontal="left" vertical="top" wrapText="1"/>
    </xf>
    <xf numFmtId="0" fontId="6" fillId="7" borderId="30" xfId="0" applyFont="1" applyFill="1" applyBorder="1" applyAlignment="1">
      <alignment horizontal="left" vertical="top" wrapText="1"/>
    </xf>
    <xf numFmtId="0" fontId="6" fillId="7" borderId="27" xfId="0" applyFont="1" applyFill="1" applyBorder="1" applyAlignment="1">
      <alignment horizontal="left" vertical="top" wrapText="1"/>
    </xf>
    <xf numFmtId="0" fontId="6" fillId="7" borderId="28" xfId="0" applyFont="1" applyFill="1" applyBorder="1" applyAlignment="1">
      <alignment horizontal="left" vertical="top" wrapText="1"/>
    </xf>
    <xf numFmtId="0" fontId="70" fillId="7" borderId="10" xfId="0" applyFont="1" applyFill="1" applyBorder="1" applyAlignment="1">
      <alignment horizontal="left" vertical="top" wrapText="1"/>
    </xf>
    <xf numFmtId="0" fontId="70" fillId="7" borderId="25" xfId="0" applyFont="1" applyFill="1" applyBorder="1" applyAlignment="1">
      <alignment horizontal="left" vertical="top" wrapText="1"/>
    </xf>
    <xf numFmtId="0" fontId="19" fillId="10" borderId="30" xfId="0" applyFont="1" applyFill="1" applyBorder="1" applyAlignment="1">
      <alignment horizontal="center"/>
    </xf>
    <xf numFmtId="1" fontId="3" fillId="0" borderId="92" xfId="0" applyNumberFormat="1" applyFont="1" applyBorder="1" applyAlignment="1" applyProtection="1">
      <alignment horizontal="center"/>
      <protection locked="0"/>
    </xf>
    <xf numFmtId="1" fontId="3" fillId="0" borderId="93" xfId="0" applyNumberFormat="1" applyFont="1" applyBorder="1" applyAlignment="1" applyProtection="1">
      <alignment horizontal="center"/>
      <protection locked="0"/>
    </xf>
    <xf numFmtId="1" fontId="3" fillId="0" borderId="101" xfId="0" applyNumberFormat="1" applyFont="1" applyBorder="1" applyAlignment="1" applyProtection="1">
      <alignment horizontal="center"/>
      <protection locked="0"/>
    </xf>
    <xf numFmtId="183" fontId="3" fillId="8" borderId="30" xfId="0" applyNumberFormat="1" applyFont="1" applyFill="1" applyBorder="1" applyAlignment="1" applyProtection="1">
      <alignment horizontal="center"/>
      <protection locked="0"/>
    </xf>
    <xf numFmtId="183" fontId="3" fillId="8" borderId="27" xfId="0" applyNumberFormat="1" applyFont="1" applyFill="1" applyBorder="1" applyAlignment="1" applyProtection="1">
      <alignment horizontal="center"/>
      <protection locked="0"/>
    </xf>
    <xf numFmtId="183" fontId="3" fillId="8" borderId="28" xfId="0" applyNumberFormat="1" applyFont="1" applyFill="1" applyBorder="1" applyAlignment="1" applyProtection="1">
      <alignment horizontal="center"/>
      <protection locked="0"/>
    </xf>
    <xf numFmtId="0" fontId="3" fillId="3" borderId="94" xfId="0" applyFont="1" applyFill="1" applyBorder="1" applyAlignment="1" applyProtection="1">
      <alignment horizontal="center" vertical="center"/>
      <protection locked="0"/>
    </xf>
    <xf numFmtId="1" fontId="3" fillId="8" borderId="91" xfId="0" applyNumberFormat="1" applyFont="1" applyFill="1" applyBorder="1" applyAlignment="1" applyProtection="1">
      <alignment horizontal="center" vertical="center"/>
      <protection locked="0"/>
    </xf>
    <xf numFmtId="0" fontId="6" fillId="18" borderId="91" xfId="0" applyFont="1" applyFill="1" applyBorder="1" applyAlignment="1">
      <alignment horizontal="center" vertical="center"/>
    </xf>
    <xf numFmtId="0" fontId="3" fillId="18" borderId="30" xfId="0" applyFont="1" applyFill="1" applyBorder="1" applyAlignment="1">
      <alignment horizontal="left" vertical="center"/>
    </xf>
    <xf numFmtId="0" fontId="3" fillId="18" borderId="27" xfId="0" applyFont="1" applyFill="1" applyBorder="1" applyAlignment="1">
      <alignment horizontal="left" vertical="center"/>
    </xf>
    <xf numFmtId="0" fontId="3" fillId="18" borderId="28" xfId="0" applyFont="1" applyFill="1" applyBorder="1" applyAlignment="1">
      <alignment horizontal="left" vertical="center"/>
    </xf>
    <xf numFmtId="167" fontId="3" fillId="7" borderId="80" xfId="0" applyNumberFormat="1" applyFont="1" applyFill="1" applyBorder="1" applyAlignment="1" applyProtection="1">
      <alignment horizontal="center" vertical="center"/>
      <protection locked="0"/>
    </xf>
    <xf numFmtId="167" fontId="3" fillId="7" borderId="38" xfId="0" applyNumberFormat="1" applyFont="1" applyFill="1" applyBorder="1" applyAlignment="1" applyProtection="1">
      <alignment horizontal="center" vertical="center"/>
      <protection locked="0"/>
    </xf>
    <xf numFmtId="167" fontId="3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3" borderId="91" xfId="0" applyFont="1" applyFill="1" applyBorder="1" applyAlignment="1" applyProtection="1">
      <alignment horizontal="left" vertical="center"/>
      <protection locked="0"/>
    </xf>
    <xf numFmtId="0" fontId="20" fillId="10" borderId="91" xfId="0" applyFont="1" applyFill="1" applyBorder="1" applyAlignment="1">
      <alignment horizontal="center" vertical="center" wrapText="1"/>
    </xf>
    <xf numFmtId="166" fontId="3" fillId="7" borderId="92" xfId="0" applyNumberFormat="1" applyFont="1" applyFill="1" applyBorder="1" applyAlignment="1" applyProtection="1">
      <alignment horizontal="center" vertical="center"/>
      <protection locked="0"/>
    </xf>
    <xf numFmtId="166" fontId="3" fillId="7" borderId="93" xfId="0" applyNumberFormat="1" applyFont="1" applyFill="1" applyBorder="1" applyAlignment="1" applyProtection="1">
      <alignment horizontal="center" vertical="center"/>
      <protection locked="0"/>
    </xf>
    <xf numFmtId="166" fontId="3" fillId="7" borderId="94" xfId="0" applyNumberFormat="1" applyFont="1" applyFill="1" applyBorder="1" applyAlignment="1" applyProtection="1">
      <alignment horizontal="center" vertical="center"/>
      <protection locked="0"/>
    </xf>
    <xf numFmtId="0" fontId="3" fillId="2" borderId="92" xfId="0" applyFont="1" applyFill="1" applyBorder="1" applyAlignment="1">
      <alignment horizontal="right"/>
    </xf>
    <xf numFmtId="0" fontId="3" fillId="2" borderId="93" xfId="0" applyFont="1" applyFill="1" applyBorder="1" applyAlignment="1">
      <alignment horizontal="right"/>
    </xf>
    <xf numFmtId="0" fontId="3" fillId="2" borderId="94" xfId="0" applyFont="1" applyFill="1" applyBorder="1" applyAlignment="1">
      <alignment horizontal="right"/>
    </xf>
    <xf numFmtId="173" fontId="3" fillId="18" borderId="93" xfId="0" applyNumberFormat="1" applyFont="1" applyFill="1" applyBorder="1" applyAlignment="1">
      <alignment horizontal="center" vertical="center"/>
    </xf>
    <xf numFmtId="173" fontId="3" fillId="18" borderId="101" xfId="0" applyNumberFormat="1" applyFont="1" applyFill="1" applyBorder="1" applyAlignment="1">
      <alignment horizontal="center" vertical="center"/>
    </xf>
    <xf numFmtId="173" fontId="6" fillId="2" borderId="91" xfId="0" applyNumberFormat="1" applyFont="1" applyFill="1" applyBorder="1" applyAlignment="1">
      <alignment horizontal="center" vertical="center"/>
    </xf>
    <xf numFmtId="0" fontId="86" fillId="8" borderId="10" xfId="0" applyFont="1" applyFill="1" applyBorder="1" applyAlignment="1" applyProtection="1">
      <alignment horizontal="left" vertical="center" wrapText="1"/>
      <protection hidden="1"/>
    </xf>
    <xf numFmtId="0" fontId="3" fillId="10" borderId="30" xfId="0" applyFont="1" applyFill="1" applyBorder="1" applyAlignment="1">
      <alignment horizontal="left" vertical="top" wrapText="1"/>
    </xf>
    <xf numFmtId="0" fontId="3" fillId="10" borderId="27" xfId="0" applyFont="1" applyFill="1" applyBorder="1" applyAlignment="1">
      <alignment horizontal="left" vertical="top" wrapText="1"/>
    </xf>
    <xf numFmtId="0" fontId="3" fillId="10" borderId="28" xfId="0" applyFont="1" applyFill="1" applyBorder="1" applyAlignment="1">
      <alignment horizontal="left" vertical="top" wrapText="1"/>
    </xf>
    <xf numFmtId="0" fontId="19" fillId="10" borderId="92" xfId="0" applyFont="1" applyFill="1" applyBorder="1" applyAlignment="1">
      <alignment horizontal="left"/>
    </xf>
    <xf numFmtId="0" fontId="19" fillId="10" borderId="93" xfId="0" applyFont="1" applyFill="1" applyBorder="1" applyAlignment="1">
      <alignment horizontal="left"/>
    </xf>
    <xf numFmtId="0" fontId="19" fillId="10" borderId="94" xfId="0" applyFont="1" applyFill="1" applyBorder="1" applyAlignment="1">
      <alignment horizontal="left"/>
    </xf>
    <xf numFmtId="0" fontId="19" fillId="10" borderId="92" xfId="0" applyFont="1" applyFill="1" applyBorder="1" applyAlignment="1">
      <alignment horizontal="center" vertical="center"/>
    </xf>
    <xf numFmtId="0" fontId="19" fillId="10" borderId="93" xfId="0" applyFont="1" applyFill="1" applyBorder="1" applyAlignment="1">
      <alignment horizontal="center" vertical="center"/>
    </xf>
    <xf numFmtId="0" fontId="19" fillId="10" borderId="94" xfId="0" applyFont="1" applyFill="1" applyBorder="1" applyAlignment="1">
      <alignment horizontal="center" vertical="center"/>
    </xf>
    <xf numFmtId="178" fontId="85" fillId="8" borderId="96" xfId="0" applyNumberFormat="1" applyFont="1" applyFill="1" applyBorder="1" applyAlignment="1" applyProtection="1">
      <alignment horizontal="center" vertical="center"/>
      <protection locked="0" hidden="1"/>
    </xf>
    <xf numFmtId="178" fontId="85" fillId="8" borderId="95" xfId="0" applyNumberFormat="1" applyFont="1" applyFill="1" applyBorder="1" applyAlignment="1" applyProtection="1">
      <alignment horizontal="center" vertical="center"/>
      <protection locked="0" hidden="1"/>
    </xf>
    <xf numFmtId="178" fontId="85" fillId="8" borderId="97" xfId="0" applyNumberFormat="1" applyFont="1" applyFill="1" applyBorder="1" applyAlignment="1" applyProtection="1">
      <alignment horizontal="center" vertical="center"/>
      <protection locked="0" hidden="1"/>
    </xf>
    <xf numFmtId="43" fontId="79" fillId="8" borderId="10" xfId="3" applyFont="1" applyFill="1" applyBorder="1" applyAlignment="1" applyProtection="1">
      <alignment horizontal="left" vertical="top" wrapText="1"/>
      <protection hidden="1"/>
    </xf>
    <xf numFmtId="181" fontId="79" fillId="8" borderId="10" xfId="0" applyNumberFormat="1" applyFont="1" applyFill="1" applyBorder="1" applyAlignment="1">
      <alignment horizontal="right" vertical="center"/>
    </xf>
    <xf numFmtId="0" fontId="19" fillId="0" borderId="32" xfId="0" applyFont="1" applyBorder="1" applyAlignment="1" applyProtection="1">
      <alignment horizontal="center"/>
      <protection locked="0"/>
    </xf>
    <xf numFmtId="0" fontId="19" fillId="0" borderId="93" xfId="0" applyFont="1" applyBorder="1" applyAlignment="1" applyProtection="1">
      <alignment horizontal="center"/>
      <protection locked="0"/>
    </xf>
    <xf numFmtId="0" fontId="3" fillId="0" borderId="92" xfId="0" applyFont="1" applyBorder="1" applyAlignment="1" applyProtection="1">
      <alignment horizontal="center"/>
      <protection locked="0"/>
    </xf>
    <xf numFmtId="0" fontId="3" fillId="0" borderId="93" xfId="0" applyFont="1" applyBorder="1" applyAlignment="1" applyProtection="1">
      <alignment horizontal="center"/>
      <protection locked="0"/>
    </xf>
    <xf numFmtId="0" fontId="3" fillId="0" borderId="94" xfId="0" applyFont="1" applyBorder="1" applyAlignment="1" applyProtection="1">
      <alignment horizontal="center"/>
      <protection locked="0"/>
    </xf>
    <xf numFmtId="0" fontId="3" fillId="0" borderId="92" xfId="0" applyFont="1" applyBorder="1" applyAlignment="1" applyProtection="1">
      <alignment horizontal="center" vertical="center"/>
      <protection locked="0"/>
    </xf>
    <xf numFmtId="0" fontId="3" fillId="0" borderId="93" xfId="0" applyFont="1" applyBorder="1" applyAlignment="1" applyProtection="1">
      <alignment horizontal="center" vertic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3" fillId="0" borderId="91" xfId="0" applyFont="1" applyBorder="1" applyAlignment="1" applyProtection="1">
      <alignment horizontal="center"/>
      <protection locked="0"/>
    </xf>
    <xf numFmtId="0" fontId="20" fillId="0" borderId="92" xfId="0" applyFont="1" applyBorder="1" applyAlignment="1" applyProtection="1">
      <alignment horizontal="center"/>
      <protection locked="0"/>
    </xf>
    <xf numFmtId="0" fontId="20" fillId="0" borderId="93" xfId="0" applyFont="1" applyBorder="1" applyAlignment="1" applyProtection="1">
      <alignment horizontal="center"/>
      <protection locked="0"/>
    </xf>
    <xf numFmtId="0" fontId="20" fillId="0" borderId="94" xfId="0" applyFont="1" applyBorder="1" applyAlignment="1" applyProtection="1">
      <alignment horizontal="center"/>
      <protection locked="0"/>
    </xf>
    <xf numFmtId="0" fontId="28" fillId="10" borderId="46" xfId="0" applyFont="1" applyFill="1" applyBorder="1" applyAlignment="1">
      <alignment horizontal="left" vertical="center"/>
    </xf>
    <xf numFmtId="0" fontId="28" fillId="10" borderId="9" xfId="0" applyFont="1" applyFill="1" applyBorder="1" applyAlignment="1">
      <alignment horizontal="left" vertical="center"/>
    </xf>
    <xf numFmtId="0" fontId="28" fillId="10" borderId="18" xfId="0" applyFont="1" applyFill="1" applyBorder="1" applyAlignment="1">
      <alignment horizontal="left" vertical="center"/>
    </xf>
    <xf numFmtId="0" fontId="3" fillId="18" borderId="92" xfId="0" applyFont="1" applyFill="1" applyBorder="1" applyAlignment="1">
      <alignment horizontal="left" vertical="center" wrapText="1"/>
    </xf>
    <xf numFmtId="0" fontId="3" fillId="18" borderId="93" xfId="0" applyFont="1" applyFill="1" applyBorder="1" applyAlignment="1">
      <alignment horizontal="left" vertical="center" wrapText="1"/>
    </xf>
    <xf numFmtId="0" fontId="3" fillId="18" borderId="94" xfId="0" applyFont="1" applyFill="1" applyBorder="1" applyAlignment="1">
      <alignment horizontal="left" vertical="center" wrapText="1"/>
    </xf>
    <xf numFmtId="0" fontId="82" fillId="2" borderId="92" xfId="0" applyFont="1" applyFill="1" applyBorder="1" applyAlignment="1">
      <alignment horizontal="center" vertical="center"/>
    </xf>
    <xf numFmtId="0" fontId="82" fillId="2" borderId="93" xfId="0" applyFont="1" applyFill="1" applyBorder="1" applyAlignment="1">
      <alignment horizontal="center" vertical="center"/>
    </xf>
    <xf numFmtId="0" fontId="82" fillId="2" borderId="94" xfId="0" applyFont="1" applyFill="1" applyBorder="1" applyAlignment="1">
      <alignment horizontal="center" vertical="center"/>
    </xf>
    <xf numFmtId="0" fontId="6" fillId="2" borderId="91" xfId="0" applyFont="1" applyFill="1" applyBorder="1" applyAlignment="1">
      <alignment horizontal="left"/>
    </xf>
    <xf numFmtId="0" fontId="3" fillId="7" borderId="46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 applyProtection="1">
      <alignment horizontal="center" vertical="center"/>
      <protection locked="0"/>
    </xf>
    <xf numFmtId="0" fontId="3" fillId="18" borderId="92" xfId="0" applyFont="1" applyFill="1" applyBorder="1" applyAlignment="1">
      <alignment horizontal="left" vertical="center"/>
    </xf>
    <xf numFmtId="0" fontId="3" fillId="18" borderId="93" xfId="0" applyFont="1" applyFill="1" applyBorder="1" applyAlignment="1">
      <alignment horizontal="left" vertical="center"/>
    </xf>
    <xf numFmtId="0" fontId="3" fillId="18" borderId="94" xfId="0" applyFont="1" applyFill="1" applyBorder="1" applyAlignment="1">
      <alignment horizontal="left" vertical="center"/>
    </xf>
    <xf numFmtId="0" fontId="20" fillId="0" borderId="91" xfId="0" applyFont="1" applyBorder="1" applyAlignment="1" applyProtection="1">
      <alignment horizontal="center"/>
      <protection locked="0"/>
    </xf>
    <xf numFmtId="0" fontId="20" fillId="8" borderId="92" xfId="0" applyFont="1" applyFill="1" applyBorder="1" applyAlignment="1" applyProtection="1">
      <alignment horizontal="center"/>
      <protection locked="0"/>
    </xf>
    <xf numFmtId="0" fontId="20" fillId="8" borderId="93" xfId="0" applyFont="1" applyFill="1" applyBorder="1" applyAlignment="1" applyProtection="1">
      <alignment horizontal="center"/>
      <protection locked="0"/>
    </xf>
    <xf numFmtId="0" fontId="20" fillId="8" borderId="94" xfId="0" applyFont="1" applyFill="1" applyBorder="1" applyAlignment="1" applyProtection="1">
      <alignment horizontal="center"/>
      <protection locked="0"/>
    </xf>
    <xf numFmtId="0" fontId="3" fillId="18" borderId="92" xfId="0" applyFont="1" applyFill="1" applyBorder="1" applyAlignment="1">
      <alignment horizontal="right"/>
    </xf>
    <xf numFmtId="0" fontId="3" fillId="18" borderId="93" xfId="0" applyFont="1" applyFill="1" applyBorder="1" applyAlignment="1">
      <alignment horizontal="right"/>
    </xf>
    <xf numFmtId="0" fontId="3" fillId="2" borderId="91" xfId="0" applyFont="1" applyFill="1" applyBorder="1" applyAlignment="1">
      <alignment horizontal="right"/>
    </xf>
    <xf numFmtId="0" fontId="3" fillId="2" borderId="100" xfId="0" applyFont="1" applyFill="1" applyBorder="1" applyAlignment="1">
      <alignment horizontal="left" vertical="center" wrapText="1"/>
    </xf>
    <xf numFmtId="0" fontId="3" fillId="2" borderId="95" xfId="0" applyFont="1" applyFill="1" applyBorder="1" applyAlignment="1">
      <alignment horizontal="left" vertical="center" wrapText="1"/>
    </xf>
    <xf numFmtId="0" fontId="3" fillId="2" borderId="97" xfId="0" applyFont="1" applyFill="1" applyBorder="1" applyAlignment="1">
      <alignment horizontal="left" vertical="center" wrapText="1"/>
    </xf>
    <xf numFmtId="0" fontId="3" fillId="2" borderId="31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25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center" wrapText="1"/>
    </xf>
    <xf numFmtId="0" fontId="29" fillId="18" borderId="92" xfId="0" applyFont="1" applyFill="1" applyBorder="1" applyAlignment="1">
      <alignment horizontal="left" vertical="center" wrapText="1"/>
    </xf>
    <xf numFmtId="0" fontId="19" fillId="18" borderId="93" xfId="0" applyFont="1" applyFill="1" applyBorder="1" applyAlignment="1">
      <alignment horizontal="left" vertical="center" wrapText="1"/>
    </xf>
    <xf numFmtId="0" fontId="19" fillId="18" borderId="94" xfId="0" applyFont="1" applyFill="1" applyBorder="1" applyAlignment="1">
      <alignment horizontal="left" vertical="center" wrapText="1"/>
    </xf>
    <xf numFmtId="170" fontId="3" fillId="8" borderId="91" xfId="0" applyNumberFormat="1" applyFont="1" applyFill="1" applyBorder="1" applyAlignment="1" applyProtection="1">
      <alignment horizontal="center" vertical="center"/>
      <protection locked="0"/>
    </xf>
    <xf numFmtId="0" fontId="83" fillId="10" borderId="92" xfId="0" applyFont="1" applyFill="1" applyBorder="1" applyAlignment="1" applyProtection="1">
      <alignment horizontal="center" vertical="center" wrapText="1"/>
      <protection hidden="1"/>
    </xf>
    <xf numFmtId="0" fontId="83" fillId="10" borderId="93" xfId="0" applyFont="1" applyFill="1" applyBorder="1" applyAlignment="1" applyProtection="1">
      <alignment horizontal="center" vertical="center" wrapText="1"/>
      <protection hidden="1"/>
    </xf>
    <xf numFmtId="0" fontId="83" fillId="10" borderId="94" xfId="0" applyFont="1" applyFill="1" applyBorder="1" applyAlignment="1" applyProtection="1">
      <alignment horizontal="center" vertical="center" wrapText="1"/>
      <protection hidden="1"/>
    </xf>
    <xf numFmtId="0" fontId="3" fillId="12" borderId="92" xfId="0" applyFont="1" applyFill="1" applyBorder="1" applyAlignment="1" applyProtection="1">
      <alignment horizontal="left" vertical="center"/>
      <protection hidden="1"/>
    </xf>
    <xf numFmtId="0" fontId="3" fillId="12" borderId="93" xfId="0" applyFont="1" applyFill="1" applyBorder="1" applyAlignment="1" applyProtection="1">
      <alignment horizontal="left" vertical="center"/>
      <protection hidden="1"/>
    </xf>
    <xf numFmtId="0" fontId="3" fillId="12" borderId="94" xfId="0" applyFont="1" applyFill="1" applyBorder="1" applyAlignment="1" applyProtection="1">
      <alignment horizontal="left" vertical="center"/>
      <protection hidden="1"/>
    </xf>
    <xf numFmtId="178" fontId="85" fillId="8" borderId="92" xfId="0" applyNumberFormat="1" applyFont="1" applyFill="1" applyBorder="1" applyAlignment="1" applyProtection="1">
      <alignment horizontal="left" vertical="center"/>
      <protection locked="0" hidden="1"/>
    </xf>
    <xf numFmtId="178" fontId="85" fillId="8" borderId="93" xfId="0" applyNumberFormat="1" applyFont="1" applyFill="1" applyBorder="1" applyAlignment="1" applyProtection="1">
      <alignment horizontal="left" vertical="center"/>
      <protection locked="0" hidden="1"/>
    </xf>
    <xf numFmtId="172" fontId="3" fillId="11" borderId="106" xfId="0" applyNumberFormat="1" applyFont="1" applyFill="1" applyBorder="1" applyAlignment="1" applyProtection="1">
      <alignment horizontal="center" vertical="center"/>
      <protection locked="0" hidden="1"/>
    </xf>
    <xf numFmtId="172" fontId="3" fillId="11" borderId="107" xfId="0" applyNumberFormat="1" applyFont="1" applyFill="1" applyBorder="1" applyAlignment="1" applyProtection="1">
      <alignment horizontal="center" vertical="center"/>
      <protection locked="0" hidden="1"/>
    </xf>
    <xf numFmtId="172" fontId="3" fillId="11" borderId="108" xfId="0" applyNumberFormat="1" applyFont="1" applyFill="1" applyBorder="1" applyAlignment="1" applyProtection="1">
      <alignment horizontal="center" vertical="center"/>
      <protection locked="0" hidden="1"/>
    </xf>
    <xf numFmtId="0" fontId="83" fillId="10" borderId="94" xfId="0" applyFont="1" applyFill="1" applyBorder="1" applyAlignment="1" applyProtection="1">
      <alignment horizontal="center" vertical="center"/>
      <protection hidden="1"/>
    </xf>
    <xf numFmtId="0" fontId="79" fillId="8" borderId="10" xfId="0" applyFont="1" applyFill="1" applyBorder="1" applyAlignment="1" applyProtection="1">
      <alignment horizontal="center" vertical="center"/>
      <protection hidden="1"/>
    </xf>
    <xf numFmtId="170" fontId="35" fillId="8" borderId="10" xfId="0" applyNumberFormat="1" applyFont="1" applyFill="1" applyBorder="1" applyAlignment="1">
      <alignment horizontal="right" vertical="center"/>
    </xf>
    <xf numFmtId="0" fontId="20" fillId="10" borderId="92" xfId="0" applyFont="1" applyFill="1" applyBorder="1" applyAlignment="1">
      <alignment horizontal="center" vertical="center" wrapText="1"/>
    </xf>
    <xf numFmtId="0" fontId="20" fillId="10" borderId="93" xfId="0" applyFont="1" applyFill="1" applyBorder="1" applyAlignment="1">
      <alignment horizontal="center" vertical="center" wrapText="1"/>
    </xf>
    <xf numFmtId="0" fontId="20" fillId="10" borderId="94" xfId="0" applyFont="1" applyFill="1" applyBorder="1" applyAlignment="1">
      <alignment horizontal="center" vertical="center" wrapText="1"/>
    </xf>
    <xf numFmtId="0" fontId="3" fillId="8" borderId="93" xfId="0" applyFont="1" applyFill="1" applyBorder="1" applyAlignment="1" applyProtection="1">
      <alignment horizontal="center" vertical="center"/>
      <protection locked="0" hidden="1"/>
    </xf>
    <xf numFmtId="0" fontId="3" fillId="8" borderId="107" xfId="0" applyFont="1" applyFill="1" applyBorder="1" applyAlignment="1" applyProtection="1">
      <alignment horizontal="center" vertical="center"/>
      <protection locked="0" hidden="1"/>
    </xf>
    <xf numFmtId="0" fontId="28" fillId="10" borderId="92" xfId="0" applyFont="1" applyFill="1" applyBorder="1" applyAlignment="1">
      <alignment horizontal="center" vertical="center"/>
    </xf>
    <xf numFmtId="0" fontId="28" fillId="10" borderId="93" xfId="0" applyFont="1" applyFill="1" applyBorder="1" applyAlignment="1">
      <alignment horizontal="center" vertical="center"/>
    </xf>
    <xf numFmtId="0" fontId="28" fillId="10" borderId="94" xfId="0" applyFont="1" applyFill="1" applyBorder="1" applyAlignment="1">
      <alignment horizontal="center" vertical="center"/>
    </xf>
    <xf numFmtId="0" fontId="3" fillId="10" borderId="106" xfId="0" applyFont="1" applyFill="1" applyBorder="1" applyAlignment="1" applyProtection="1">
      <alignment horizontal="center" vertical="center"/>
      <protection hidden="1"/>
    </xf>
    <xf numFmtId="0" fontId="3" fillId="10" borderId="107" xfId="0" applyFont="1" applyFill="1" applyBorder="1" applyAlignment="1" applyProtection="1">
      <alignment horizontal="center" vertical="center"/>
      <protection hidden="1"/>
    </xf>
    <xf numFmtId="0" fontId="3" fillId="10" borderId="108" xfId="0" applyFont="1" applyFill="1" applyBorder="1" applyAlignment="1" applyProtection="1">
      <alignment horizontal="center" vertical="center"/>
      <protection hidden="1"/>
    </xf>
    <xf numFmtId="0" fontId="35" fillId="23" borderId="10" xfId="0" applyFont="1" applyFill="1" applyBorder="1" applyAlignment="1" applyProtection="1">
      <alignment horizontal="left" vertical="center" wrapText="1"/>
      <protection hidden="1"/>
    </xf>
    <xf numFmtId="0" fontId="3" fillId="34" borderId="31" xfId="0" applyFont="1" applyFill="1" applyBorder="1" applyAlignment="1" applyProtection="1">
      <alignment horizontal="center" vertical="center"/>
      <protection locked="0" hidden="1"/>
    </xf>
    <xf numFmtId="0" fontId="3" fillId="34" borderId="10" xfId="0" applyFont="1" applyFill="1" applyBorder="1" applyAlignment="1" applyProtection="1">
      <alignment horizontal="center" vertical="center"/>
      <protection locked="0" hidden="1"/>
    </xf>
    <xf numFmtId="0" fontId="3" fillId="10" borderId="31" xfId="0" applyFont="1" applyFill="1" applyBorder="1" applyAlignment="1" applyProtection="1">
      <alignment horizontal="center" vertical="center" wrapText="1"/>
      <protection hidden="1"/>
    </xf>
    <xf numFmtId="0" fontId="3" fillId="10" borderId="10" xfId="0" applyFont="1" applyFill="1" applyBorder="1" applyAlignment="1" applyProtection="1">
      <alignment horizontal="center" vertical="center" wrapText="1"/>
      <protection hidden="1"/>
    </xf>
    <xf numFmtId="0" fontId="3" fillId="10" borderId="25" xfId="0" applyFont="1" applyFill="1" applyBorder="1" applyAlignment="1" applyProtection="1">
      <alignment horizontal="center" vertical="center" wrapText="1"/>
      <protection hidden="1"/>
    </xf>
    <xf numFmtId="0" fontId="3" fillId="10" borderId="106" xfId="0" applyFont="1" applyFill="1" applyBorder="1" applyAlignment="1" applyProtection="1">
      <alignment vertical="center" wrapText="1"/>
      <protection hidden="1"/>
    </xf>
    <xf numFmtId="0" fontId="3" fillId="10" borderId="107" xfId="0" applyFont="1" applyFill="1" applyBorder="1" applyAlignment="1" applyProtection="1">
      <alignment vertical="center" wrapText="1"/>
      <protection hidden="1"/>
    </xf>
    <xf numFmtId="0" fontId="3" fillId="10" borderId="108" xfId="0" applyFont="1" applyFill="1" applyBorder="1" applyAlignment="1" applyProtection="1">
      <alignment vertical="center" wrapText="1"/>
      <protection hidden="1"/>
    </xf>
    <xf numFmtId="0" fontId="20" fillId="10" borderId="10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locked="0" hidden="1"/>
    </xf>
    <xf numFmtId="0" fontId="3" fillId="2" borderId="100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9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169" fontId="3" fillId="7" borderId="100" xfId="0" applyNumberFormat="1" applyFont="1" applyFill="1" applyBorder="1" applyAlignment="1" applyProtection="1">
      <alignment horizontal="center" vertical="center"/>
      <protection locked="0"/>
    </xf>
    <xf numFmtId="169" fontId="3" fillId="7" borderId="95" xfId="0" applyNumberFormat="1" applyFont="1" applyFill="1" applyBorder="1" applyAlignment="1" applyProtection="1">
      <alignment horizontal="center" vertical="center"/>
      <protection locked="0"/>
    </xf>
    <xf numFmtId="169" fontId="3" fillId="7" borderId="97" xfId="0" applyNumberFormat="1" applyFont="1" applyFill="1" applyBorder="1" applyAlignment="1" applyProtection="1">
      <alignment horizontal="center" vertical="center"/>
      <protection locked="0"/>
    </xf>
    <xf numFmtId="169" fontId="3" fillId="7" borderId="31" xfId="0" applyNumberFormat="1" applyFont="1" applyFill="1" applyBorder="1" applyAlignment="1" applyProtection="1">
      <alignment horizontal="center" vertical="center"/>
      <protection locked="0"/>
    </xf>
    <xf numFmtId="169" fontId="3" fillId="7" borderId="10" xfId="0" applyNumberFormat="1" applyFont="1" applyFill="1" applyBorder="1" applyAlignment="1" applyProtection="1">
      <alignment horizontal="center" vertical="center"/>
      <protection locked="0"/>
    </xf>
    <xf numFmtId="169" fontId="3" fillId="7" borderId="25" xfId="0" applyNumberFormat="1" applyFont="1" applyFill="1" applyBorder="1" applyAlignment="1" applyProtection="1">
      <alignment horizontal="center" vertical="center"/>
      <protection locked="0"/>
    </xf>
    <xf numFmtId="169" fontId="3" fillId="7" borderId="30" xfId="0" applyNumberFormat="1" applyFont="1" applyFill="1" applyBorder="1" applyAlignment="1" applyProtection="1">
      <alignment horizontal="center" vertical="center"/>
      <protection locked="0"/>
    </xf>
    <xf numFmtId="169" fontId="3" fillId="7" borderId="27" xfId="0" applyNumberFormat="1" applyFont="1" applyFill="1" applyBorder="1" applyAlignment="1" applyProtection="1">
      <alignment horizontal="center" vertical="center"/>
      <protection locked="0"/>
    </xf>
    <xf numFmtId="169" fontId="3" fillId="7" borderId="28" xfId="0" applyNumberFormat="1" applyFont="1" applyFill="1" applyBorder="1" applyAlignment="1" applyProtection="1">
      <alignment horizontal="center" vertical="center"/>
      <protection locked="0"/>
    </xf>
    <xf numFmtId="0" fontId="87" fillId="10" borderId="92" xfId="0" applyFont="1" applyFill="1" applyBorder="1" applyAlignment="1">
      <alignment horizontal="center" vertical="center"/>
    </xf>
    <xf numFmtId="0" fontId="87" fillId="10" borderId="93" xfId="0" applyFont="1" applyFill="1" applyBorder="1" applyAlignment="1">
      <alignment horizontal="center" vertical="center"/>
    </xf>
    <xf numFmtId="0" fontId="87" fillId="10" borderId="94" xfId="0" applyFont="1" applyFill="1" applyBorder="1" applyAlignment="1">
      <alignment horizontal="center" vertical="center"/>
    </xf>
    <xf numFmtId="178" fontId="85" fillId="8" borderId="94" xfId="0" applyNumberFormat="1" applyFont="1" applyFill="1" applyBorder="1" applyAlignment="1" applyProtection="1">
      <alignment horizontal="center" vertical="center"/>
      <protection locked="0" hidden="1"/>
    </xf>
    <xf numFmtId="0" fontId="20" fillId="10" borderId="92" xfId="0" applyFont="1" applyFill="1" applyBorder="1" applyAlignment="1">
      <alignment horizontal="center" vertical="center"/>
    </xf>
    <xf numFmtId="0" fontId="20" fillId="10" borderId="93" xfId="0" applyFont="1" applyFill="1" applyBorder="1" applyAlignment="1">
      <alignment horizontal="center" vertical="center"/>
    </xf>
    <xf numFmtId="0" fontId="20" fillId="10" borderId="94" xfId="0" applyFont="1" applyFill="1" applyBorder="1" applyAlignment="1">
      <alignment horizontal="center" vertical="center"/>
    </xf>
    <xf numFmtId="0" fontId="28" fillId="10" borderId="100" xfId="0" applyFont="1" applyFill="1" applyBorder="1" applyAlignment="1">
      <alignment horizontal="center" vertical="center"/>
    </xf>
    <xf numFmtId="0" fontId="28" fillId="10" borderId="95" xfId="0" applyFont="1" applyFill="1" applyBorder="1" applyAlignment="1">
      <alignment horizontal="center" vertical="center"/>
    </xf>
    <xf numFmtId="0" fontId="28" fillId="10" borderId="97" xfId="0" applyFont="1" applyFill="1" applyBorder="1" applyAlignment="1">
      <alignment horizontal="center" vertical="center"/>
    </xf>
    <xf numFmtId="0" fontId="20" fillId="10" borderId="91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/>
    </xf>
    <xf numFmtId="0" fontId="3" fillId="0" borderId="100" xfId="0" applyFont="1" applyBorder="1" applyAlignment="1" applyProtection="1">
      <alignment horizontal="center" vertical="top" wrapText="1"/>
      <protection locked="0"/>
    </xf>
    <xf numFmtId="0" fontId="3" fillId="0" borderId="95" xfId="0" applyFont="1" applyBorder="1" applyAlignment="1" applyProtection="1">
      <alignment horizontal="center" vertical="top" wrapText="1"/>
      <protection locked="0"/>
    </xf>
    <xf numFmtId="0" fontId="3" fillId="0" borderId="97" xfId="0" applyFont="1" applyBorder="1" applyAlignment="1" applyProtection="1">
      <alignment horizontal="center" vertical="top" wrapText="1"/>
      <protection locked="0"/>
    </xf>
    <xf numFmtId="0" fontId="3" fillId="0" borderId="31" xfId="0" applyFont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horizontal="center" vertical="top" wrapText="1"/>
      <protection locked="0"/>
    </xf>
    <xf numFmtId="0" fontId="3" fillId="0" borderId="25" xfId="0" applyFont="1" applyBorder="1" applyAlignment="1" applyProtection="1">
      <alignment horizontal="center" vertical="top" wrapText="1"/>
      <protection locked="0"/>
    </xf>
    <xf numFmtId="0" fontId="3" fillId="0" borderId="30" xfId="0" applyFont="1" applyBorder="1" applyAlignment="1" applyProtection="1">
      <alignment horizontal="center" vertical="top" wrapText="1"/>
      <protection locked="0"/>
    </xf>
    <xf numFmtId="0" fontId="3" fillId="0" borderId="27" xfId="0" applyFont="1" applyBorder="1" applyAlignment="1" applyProtection="1">
      <alignment horizontal="center" vertical="top" wrapText="1"/>
      <protection locked="0"/>
    </xf>
    <xf numFmtId="0" fontId="3" fillId="0" borderId="28" xfId="0" applyFont="1" applyBorder="1" applyAlignment="1" applyProtection="1">
      <alignment horizontal="center" vertical="top" wrapText="1"/>
      <protection locked="0"/>
    </xf>
    <xf numFmtId="2" fontId="22" fillId="8" borderId="10" xfId="0" applyNumberFormat="1" applyFont="1" applyFill="1" applyBorder="1" applyAlignment="1">
      <alignment horizontal="center"/>
    </xf>
    <xf numFmtId="0" fontId="36" fillId="9" borderId="100" xfId="0" applyFont="1" applyFill="1" applyBorder="1" applyAlignment="1">
      <alignment horizontal="left" vertical="top" wrapText="1"/>
    </xf>
    <xf numFmtId="0" fontId="36" fillId="9" borderId="95" xfId="0" applyFont="1" applyFill="1" applyBorder="1" applyAlignment="1">
      <alignment horizontal="left" vertical="top" wrapText="1"/>
    </xf>
    <xf numFmtId="0" fontId="36" fillId="9" borderId="97" xfId="0" applyFont="1" applyFill="1" applyBorder="1" applyAlignment="1">
      <alignment horizontal="left" vertical="top" wrapText="1"/>
    </xf>
    <xf numFmtId="0" fontId="36" fillId="9" borderId="31" xfId="0" applyFont="1" applyFill="1" applyBorder="1" applyAlignment="1">
      <alignment horizontal="left" vertical="top" wrapText="1"/>
    </xf>
    <xf numFmtId="0" fontId="36" fillId="9" borderId="10" xfId="0" applyFont="1" applyFill="1" applyBorder="1" applyAlignment="1">
      <alignment horizontal="left" vertical="top" wrapText="1"/>
    </xf>
    <xf numFmtId="0" fontId="36" fillId="9" borderId="25" xfId="0" applyFont="1" applyFill="1" applyBorder="1" applyAlignment="1">
      <alignment horizontal="left" vertical="top" wrapText="1"/>
    </xf>
    <xf numFmtId="0" fontId="36" fillId="9" borderId="30" xfId="0" applyFont="1" applyFill="1" applyBorder="1" applyAlignment="1">
      <alignment horizontal="left" vertical="top" wrapText="1"/>
    </xf>
    <xf numFmtId="0" fontId="36" fillId="9" borderId="27" xfId="0" applyFont="1" applyFill="1" applyBorder="1" applyAlignment="1">
      <alignment horizontal="left" vertical="top" wrapText="1"/>
    </xf>
    <xf numFmtId="0" fontId="36" fillId="9" borderId="28" xfId="0" applyFont="1" applyFill="1" applyBorder="1" applyAlignment="1">
      <alignment horizontal="left" vertical="top" wrapText="1"/>
    </xf>
    <xf numFmtId="0" fontId="3" fillId="9" borderId="92" xfId="0" applyFont="1" applyFill="1" applyBorder="1" applyAlignment="1">
      <alignment horizontal="left" vertical="center"/>
    </xf>
    <xf numFmtId="0" fontId="3" fillId="9" borderId="93" xfId="0" applyFont="1" applyFill="1" applyBorder="1" applyAlignment="1">
      <alignment horizontal="left" vertical="center"/>
    </xf>
    <xf numFmtId="0" fontId="3" fillId="9" borderId="94" xfId="0" applyFont="1" applyFill="1" applyBorder="1" applyAlignment="1">
      <alignment horizontal="left" vertical="center"/>
    </xf>
    <xf numFmtId="0" fontId="3" fillId="9" borderId="91" xfId="0" applyFont="1" applyFill="1" applyBorder="1" applyAlignment="1">
      <alignment horizontal="left" vertical="center"/>
    </xf>
    <xf numFmtId="0" fontId="28" fillId="10" borderId="58" xfId="0" applyFont="1" applyFill="1" applyBorder="1" applyAlignment="1">
      <alignment horizontal="left" vertical="top" wrapText="1"/>
    </xf>
    <xf numFmtId="0" fontId="28" fillId="10" borderId="76" xfId="0" applyFont="1" applyFill="1" applyBorder="1" applyAlignment="1">
      <alignment horizontal="left" vertical="top" wrapText="1"/>
    </xf>
    <xf numFmtId="0" fontId="28" fillId="10" borderId="77" xfId="0" applyFont="1" applyFill="1" applyBorder="1" applyAlignment="1">
      <alignment horizontal="left" vertical="top" wrapText="1"/>
    </xf>
    <xf numFmtId="0" fontId="28" fillId="10" borderId="74" xfId="0" applyFont="1" applyFill="1" applyBorder="1" applyAlignment="1">
      <alignment horizontal="left" vertical="top" wrapText="1"/>
    </xf>
    <xf numFmtId="0" fontId="28" fillId="10" borderId="10" xfId="0" applyFont="1" applyFill="1" applyBorder="1" applyAlignment="1">
      <alignment horizontal="left" vertical="top" wrapText="1"/>
    </xf>
    <xf numFmtId="0" fontId="28" fillId="10" borderId="75" xfId="0" applyFont="1" applyFill="1" applyBorder="1" applyAlignment="1">
      <alignment horizontal="left" vertical="top" wrapText="1"/>
    </xf>
    <xf numFmtId="0" fontId="28" fillId="10" borderId="70" xfId="0" applyFont="1" applyFill="1" applyBorder="1" applyAlignment="1">
      <alignment horizontal="left" vertical="top" wrapText="1"/>
    </xf>
    <xf numFmtId="0" fontId="28" fillId="10" borderId="72" xfId="0" applyFont="1" applyFill="1" applyBorder="1" applyAlignment="1">
      <alignment horizontal="left" vertical="top" wrapText="1"/>
    </xf>
    <xf numFmtId="0" fontId="28" fillId="10" borderId="78" xfId="0" applyFont="1" applyFill="1" applyBorder="1" applyAlignment="1">
      <alignment horizontal="left" vertical="top" wrapText="1"/>
    </xf>
    <xf numFmtId="0" fontId="89" fillId="10" borderId="92" xfId="0" applyFont="1" applyFill="1" applyBorder="1" applyAlignment="1">
      <alignment horizontal="center" vertical="center"/>
    </xf>
    <xf numFmtId="0" fontId="89" fillId="10" borderId="93" xfId="0" applyFont="1" applyFill="1" applyBorder="1" applyAlignment="1">
      <alignment horizontal="center" vertical="center"/>
    </xf>
    <xf numFmtId="0" fontId="89" fillId="10" borderId="94" xfId="0" applyFont="1" applyFill="1" applyBorder="1" applyAlignment="1">
      <alignment horizontal="center" vertical="center"/>
    </xf>
    <xf numFmtId="0" fontId="89" fillId="10" borderId="92" xfId="0" applyFont="1" applyFill="1" applyBorder="1" applyAlignment="1">
      <alignment horizontal="center" vertical="center" wrapText="1"/>
    </xf>
    <xf numFmtId="0" fontId="89" fillId="10" borderId="93" xfId="0" applyFont="1" applyFill="1" applyBorder="1" applyAlignment="1">
      <alignment horizontal="center" vertical="center" wrapText="1"/>
    </xf>
    <xf numFmtId="0" fontId="89" fillId="10" borderId="94" xfId="0" applyFont="1" applyFill="1" applyBorder="1" applyAlignment="1">
      <alignment horizontal="center" vertical="center" wrapText="1"/>
    </xf>
    <xf numFmtId="0" fontId="20" fillId="8" borderId="91" xfId="0" applyFont="1" applyFill="1" applyBorder="1" applyAlignment="1" applyProtection="1">
      <alignment horizontal="center" vertical="center"/>
      <protection locked="0"/>
    </xf>
    <xf numFmtId="0" fontId="20" fillId="8" borderId="92" xfId="0" applyFont="1" applyFill="1" applyBorder="1" applyAlignment="1" applyProtection="1">
      <alignment horizontal="center" vertical="center"/>
      <protection locked="0"/>
    </xf>
    <xf numFmtId="0" fontId="20" fillId="8" borderId="93" xfId="0" applyFont="1" applyFill="1" applyBorder="1" applyAlignment="1" applyProtection="1">
      <alignment horizontal="center" vertical="center"/>
      <protection locked="0"/>
    </xf>
    <xf numFmtId="0" fontId="20" fillId="8" borderId="94" xfId="0" applyFont="1" applyFill="1" applyBorder="1" applyAlignment="1" applyProtection="1">
      <alignment horizontal="center" vertical="center"/>
      <protection locked="0"/>
    </xf>
    <xf numFmtId="2" fontId="20" fillId="8" borderId="92" xfId="0" applyNumberFormat="1" applyFont="1" applyFill="1" applyBorder="1" applyAlignment="1" applyProtection="1">
      <alignment horizontal="center" vertical="center" wrapText="1"/>
      <protection locked="0"/>
    </xf>
    <xf numFmtId="2" fontId="20" fillId="8" borderId="93" xfId="0" applyNumberFormat="1" applyFont="1" applyFill="1" applyBorder="1" applyAlignment="1" applyProtection="1">
      <alignment horizontal="center" vertical="center" wrapText="1"/>
      <protection locked="0"/>
    </xf>
    <xf numFmtId="2" fontId="20" fillId="8" borderId="94" xfId="0" applyNumberFormat="1" applyFont="1" applyFill="1" applyBorder="1" applyAlignment="1" applyProtection="1">
      <alignment horizontal="center" vertical="center" wrapText="1"/>
      <protection locked="0"/>
    </xf>
    <xf numFmtId="0" fontId="20" fillId="8" borderId="92" xfId="0" applyFont="1" applyFill="1" applyBorder="1" applyAlignment="1" applyProtection="1">
      <alignment horizontal="center" vertical="center" wrapText="1"/>
      <protection locked="0"/>
    </xf>
    <xf numFmtId="0" fontId="20" fillId="8" borderId="93" xfId="0" applyFont="1" applyFill="1" applyBorder="1" applyAlignment="1" applyProtection="1">
      <alignment horizontal="center" vertical="center" wrapText="1"/>
      <protection locked="0"/>
    </xf>
    <xf numFmtId="0" fontId="20" fillId="8" borderId="94" xfId="0" applyFont="1" applyFill="1" applyBorder="1" applyAlignment="1" applyProtection="1">
      <alignment horizontal="center" vertical="center" wrapText="1"/>
      <protection locked="0"/>
    </xf>
    <xf numFmtId="0" fontId="89" fillId="10" borderId="91" xfId="0" applyFont="1" applyFill="1" applyBorder="1" applyAlignment="1">
      <alignment horizontal="center" vertical="center"/>
    </xf>
    <xf numFmtId="2" fontId="89" fillId="10" borderId="92" xfId="0" applyNumberFormat="1" applyFont="1" applyFill="1" applyBorder="1" applyAlignment="1">
      <alignment horizontal="center" vertical="center" wrapText="1"/>
    </xf>
    <xf numFmtId="2" fontId="89" fillId="10" borderId="93" xfId="0" applyNumberFormat="1" applyFont="1" applyFill="1" applyBorder="1" applyAlignment="1">
      <alignment horizontal="center" vertical="center" wrapText="1"/>
    </xf>
    <xf numFmtId="2" fontId="89" fillId="10" borderId="94" xfId="0" applyNumberFormat="1" applyFont="1" applyFill="1" applyBorder="1" applyAlignment="1">
      <alignment horizontal="center" vertical="center" wrapText="1"/>
    </xf>
    <xf numFmtId="0" fontId="19" fillId="3" borderId="106" xfId="0" applyFont="1" applyFill="1" applyBorder="1" applyAlignment="1" applyProtection="1">
      <alignment horizontal="center" vertical="center" wrapText="1"/>
      <protection locked="0" hidden="1"/>
    </xf>
    <xf numFmtId="0" fontId="19" fillId="3" borderId="107" xfId="0" applyFont="1" applyFill="1" applyBorder="1" applyAlignment="1" applyProtection="1">
      <alignment horizontal="center" vertical="center" wrapText="1"/>
      <protection locked="0" hidden="1"/>
    </xf>
    <xf numFmtId="0" fontId="3" fillId="21" borderId="106" xfId="0" applyFont="1" applyFill="1" applyBorder="1" applyAlignment="1" applyProtection="1">
      <alignment horizontal="left" vertical="center" wrapText="1"/>
      <protection hidden="1"/>
    </xf>
    <xf numFmtId="0" fontId="3" fillId="21" borderId="107" xfId="0" applyFont="1" applyFill="1" applyBorder="1" applyAlignment="1" applyProtection="1">
      <alignment horizontal="left" vertical="center" wrapText="1"/>
      <protection hidden="1"/>
    </xf>
    <xf numFmtId="0" fontId="3" fillId="21" borderId="108" xfId="0" applyFont="1" applyFill="1" applyBorder="1" applyAlignment="1" applyProtection="1">
      <alignment horizontal="left" vertical="center" wrapText="1"/>
      <protection hidden="1"/>
    </xf>
    <xf numFmtId="0" fontId="3" fillId="3" borderId="106" xfId="0" applyFont="1" applyFill="1" applyBorder="1" applyAlignment="1" applyProtection="1">
      <alignment horizontal="center" vertical="center" wrapText="1"/>
      <protection locked="0" hidden="1"/>
    </xf>
    <xf numFmtId="0" fontId="3" fillId="3" borderId="107" xfId="0" applyFont="1" applyFill="1" applyBorder="1" applyAlignment="1" applyProtection="1">
      <alignment horizontal="center" vertical="center" wrapText="1"/>
      <protection locked="0" hidden="1"/>
    </xf>
    <xf numFmtId="0" fontId="3" fillId="3" borderId="108" xfId="0" applyFont="1" applyFill="1" applyBorder="1" applyAlignment="1" applyProtection="1">
      <alignment horizontal="center" vertical="center" wrapText="1"/>
      <protection locked="0" hidden="1"/>
    </xf>
    <xf numFmtId="0" fontId="22" fillId="8" borderId="10" xfId="0" applyFont="1" applyFill="1" applyBorder="1" applyAlignment="1" applyProtection="1">
      <alignment horizontal="center" vertical="center" wrapText="1"/>
      <protection hidden="1"/>
    </xf>
    <xf numFmtId="0" fontId="22" fillId="8" borderId="10" xfId="0" applyFont="1" applyFill="1" applyBorder="1" applyAlignment="1" applyProtection="1">
      <alignment horizontal="left" vertical="center" wrapText="1"/>
      <protection hidden="1"/>
    </xf>
    <xf numFmtId="0" fontId="28" fillId="10" borderId="92" xfId="0" applyFont="1" applyFill="1" applyBorder="1" applyAlignment="1">
      <alignment horizontal="left" vertical="center" wrapText="1"/>
    </xf>
    <xf numFmtId="0" fontId="28" fillId="10" borderId="93" xfId="0" applyFont="1" applyFill="1" applyBorder="1" applyAlignment="1">
      <alignment horizontal="left" vertical="center" wrapText="1"/>
    </xf>
    <xf numFmtId="0" fontId="28" fillId="10" borderId="94" xfId="0" applyFont="1" applyFill="1" applyBorder="1" applyAlignment="1">
      <alignment horizontal="left" vertical="center" wrapText="1"/>
    </xf>
    <xf numFmtId="0" fontId="28" fillId="10" borderId="91" xfId="0" applyFont="1" applyFill="1" applyBorder="1" applyAlignment="1">
      <alignment horizontal="center" vertical="center" wrapText="1"/>
    </xf>
    <xf numFmtId="0" fontId="28" fillId="0" borderId="91" xfId="0" applyFont="1" applyBorder="1" applyAlignment="1" applyProtection="1">
      <alignment horizontal="center" vertical="center"/>
      <protection locked="0"/>
    </xf>
    <xf numFmtId="0" fontId="38" fillId="26" borderId="48" xfId="0" applyFont="1" applyFill="1" applyBorder="1" applyAlignment="1">
      <alignment horizontal="center"/>
    </xf>
    <xf numFmtId="0" fontId="38" fillId="26" borderId="49" xfId="0" applyFont="1" applyFill="1" applyBorder="1" applyAlignment="1">
      <alignment horizontal="center"/>
    </xf>
    <xf numFmtId="0" fontId="38" fillId="26" borderId="50" xfId="0" applyFont="1" applyFill="1" applyBorder="1" applyAlignment="1">
      <alignment horizontal="center"/>
    </xf>
    <xf numFmtId="0" fontId="38" fillId="26" borderId="0" xfId="0" applyFont="1" applyFill="1" applyAlignment="1">
      <alignment horizontal="center"/>
    </xf>
    <xf numFmtId="0" fontId="39" fillId="0" borderId="102" xfId="0" applyFont="1" applyBorder="1" applyAlignment="1">
      <alignment horizontal="center"/>
    </xf>
    <xf numFmtId="0" fontId="39" fillId="0" borderId="103" xfId="0" applyFont="1" applyBorder="1" applyAlignment="1">
      <alignment horizontal="center"/>
    </xf>
    <xf numFmtId="0" fontId="40" fillId="10" borderId="37" xfId="0" applyFont="1" applyFill="1" applyBorder="1" applyAlignment="1">
      <alignment horizontal="center" vertical="center"/>
    </xf>
    <xf numFmtId="0" fontId="40" fillId="10" borderId="29" xfId="0" applyFont="1" applyFill="1" applyBorder="1" applyAlignment="1">
      <alignment horizontal="center" vertical="center"/>
    </xf>
    <xf numFmtId="0" fontId="40" fillId="10" borderId="30" xfId="0" applyFont="1" applyFill="1" applyBorder="1" applyAlignment="1">
      <alignment horizontal="center"/>
    </xf>
    <xf numFmtId="0" fontId="40" fillId="10" borderId="27" xfId="0" applyFont="1" applyFill="1" applyBorder="1" applyAlignment="1">
      <alignment horizontal="center"/>
    </xf>
    <xf numFmtId="0" fontId="40" fillId="10" borderId="28" xfId="0" applyFont="1" applyFill="1" applyBorder="1" applyAlignment="1">
      <alignment horizontal="center"/>
    </xf>
    <xf numFmtId="0" fontId="42" fillId="26" borderId="51" xfId="0" applyFont="1" applyFill="1" applyBorder="1" applyAlignment="1">
      <alignment horizontal="center"/>
    </xf>
    <xf numFmtId="0" fontId="43" fillId="26" borderId="52" xfId="0" applyFont="1" applyFill="1" applyBorder="1" applyAlignment="1">
      <alignment horizontal="center"/>
    </xf>
    <xf numFmtId="0" fontId="37" fillId="23" borderId="10" xfId="0" applyFont="1" applyFill="1" applyBorder="1" applyAlignment="1">
      <alignment horizontal="left" vertical="center" wrapText="1"/>
    </xf>
    <xf numFmtId="0" fontId="3" fillId="10" borderId="20" xfId="0" applyFont="1" applyFill="1" applyBorder="1" applyAlignment="1">
      <alignment horizontal="center"/>
    </xf>
    <xf numFmtId="0" fontId="3" fillId="8" borderId="30" xfId="0" applyFont="1" applyFill="1" applyBorder="1" applyAlignment="1">
      <alignment horizontal="center"/>
    </xf>
    <xf numFmtId="0" fontId="3" fillId="8" borderId="27" xfId="0" applyFont="1" applyFill="1" applyBorder="1" applyAlignment="1">
      <alignment horizontal="center"/>
    </xf>
    <xf numFmtId="0" fontId="3" fillId="8" borderId="28" xfId="0" applyFont="1" applyFill="1" applyBorder="1" applyAlignment="1">
      <alignment horizontal="center"/>
    </xf>
    <xf numFmtId="0" fontId="3" fillId="10" borderId="27" xfId="0" applyFont="1" applyFill="1" applyBorder="1" applyAlignment="1">
      <alignment horizontal="center"/>
    </xf>
    <xf numFmtId="0" fontId="3" fillId="10" borderId="28" xfId="0" applyFont="1" applyFill="1" applyBorder="1" applyAlignment="1">
      <alignment horizontal="center"/>
    </xf>
    <xf numFmtId="170" fontId="3" fillId="8" borderId="30" xfId="0" applyNumberFormat="1" applyFont="1" applyFill="1" applyBorder="1" applyAlignment="1">
      <alignment horizontal="center"/>
    </xf>
    <xf numFmtId="170" fontId="3" fillId="8" borderId="27" xfId="0" applyNumberFormat="1" applyFont="1" applyFill="1" applyBorder="1" applyAlignment="1">
      <alignment horizontal="center"/>
    </xf>
    <xf numFmtId="0" fontId="3" fillId="10" borderId="30" xfId="0" applyFont="1" applyFill="1" applyBorder="1" applyAlignment="1">
      <alignment horizontal="center"/>
    </xf>
    <xf numFmtId="0" fontId="19" fillId="7" borderId="30" xfId="0" applyFont="1" applyFill="1" applyBorder="1" applyAlignment="1" applyProtection="1">
      <alignment horizontal="center" vertical="center"/>
      <protection locked="0"/>
    </xf>
    <xf numFmtId="0" fontId="19" fillId="7" borderId="27" xfId="0" applyFont="1" applyFill="1" applyBorder="1" applyAlignment="1" applyProtection="1">
      <alignment horizontal="center" vertical="center"/>
      <protection locked="0"/>
    </xf>
    <xf numFmtId="0" fontId="19" fillId="7" borderId="28" xfId="0" applyFont="1" applyFill="1" applyBorder="1" applyAlignment="1" applyProtection="1">
      <alignment horizontal="center" vertical="center"/>
      <protection locked="0"/>
    </xf>
    <xf numFmtId="0" fontId="0" fillId="8" borderId="29" xfId="0" applyFill="1" applyBorder="1" applyAlignment="1">
      <alignment horizontal="center"/>
    </xf>
    <xf numFmtId="0" fontId="3" fillId="10" borderId="19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49" fillId="10" borderId="19" xfId="0" applyFont="1" applyFill="1" applyBorder="1" applyAlignment="1" applyProtection="1">
      <alignment horizontal="center" vertical="center"/>
      <protection hidden="1"/>
    </xf>
    <xf numFmtId="0" fontId="49" fillId="10" borderId="20" xfId="0" applyFont="1" applyFill="1" applyBorder="1" applyAlignment="1" applyProtection="1">
      <alignment horizontal="center" vertical="center"/>
      <protection hidden="1"/>
    </xf>
    <xf numFmtId="173" fontId="49" fillId="8" borderId="19" xfId="0" applyNumberFormat="1" applyFont="1" applyFill="1" applyBorder="1" applyAlignment="1" applyProtection="1">
      <alignment horizontal="right" vertical="center"/>
      <protection locked="0" hidden="1"/>
    </xf>
    <xf numFmtId="173" fontId="49" fillId="8" borderId="20" xfId="0" applyNumberFormat="1" applyFont="1" applyFill="1" applyBorder="1" applyAlignment="1" applyProtection="1">
      <alignment horizontal="right" vertical="center"/>
      <protection locked="0" hidden="1"/>
    </xf>
    <xf numFmtId="173" fontId="49" fillId="8" borderId="21" xfId="0" applyNumberFormat="1" applyFont="1" applyFill="1" applyBorder="1" applyAlignment="1" applyProtection="1">
      <alignment horizontal="right" vertical="center"/>
      <protection locked="0" hidden="1"/>
    </xf>
    <xf numFmtId="178" fontId="49" fillId="8" borderId="19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20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87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83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88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89" xfId="0" applyNumberFormat="1" applyFont="1" applyFill="1" applyBorder="1" applyAlignment="1" applyProtection="1">
      <alignment horizontal="center"/>
      <protection locked="0" hidden="1"/>
    </xf>
    <xf numFmtId="178" fontId="49" fillId="8" borderId="20" xfId="0" applyNumberFormat="1" applyFont="1" applyFill="1" applyBorder="1" applyAlignment="1" applyProtection="1">
      <alignment horizontal="center"/>
      <protection locked="0" hidden="1"/>
    </xf>
    <xf numFmtId="178" fontId="49" fillId="8" borderId="21" xfId="0" applyNumberFormat="1" applyFont="1" applyFill="1" applyBorder="1" applyAlignment="1" applyProtection="1">
      <alignment horizontal="center"/>
      <protection locked="0" hidden="1"/>
    </xf>
    <xf numFmtId="0" fontId="48" fillId="10" borderId="19" xfId="0" applyFont="1" applyFill="1" applyBorder="1" applyAlignment="1" applyProtection="1">
      <alignment horizontal="center" vertical="center"/>
      <protection hidden="1"/>
    </xf>
    <xf numFmtId="0" fontId="48" fillId="10" borderId="20" xfId="0" applyFont="1" applyFill="1" applyBorder="1" applyAlignment="1" applyProtection="1">
      <alignment horizontal="center" vertical="center"/>
      <protection hidden="1"/>
    </xf>
    <xf numFmtId="0" fontId="48" fillId="10" borderId="21" xfId="0" applyFont="1" applyFill="1" applyBorder="1" applyAlignment="1" applyProtection="1">
      <alignment horizontal="center" vertical="center"/>
      <protection hidden="1"/>
    </xf>
    <xf numFmtId="0" fontId="72" fillId="8" borderId="10" xfId="0" applyFont="1" applyFill="1" applyBorder="1" applyAlignment="1" applyProtection="1">
      <alignment horizontal="center" vertical="center"/>
      <protection hidden="1"/>
    </xf>
    <xf numFmtId="0" fontId="49" fillId="10" borderId="19" xfId="0" applyFont="1" applyFill="1" applyBorder="1" applyAlignment="1" applyProtection="1">
      <alignment horizontal="center" vertical="center" wrapText="1"/>
      <protection hidden="1"/>
    </xf>
    <xf numFmtId="0" fontId="49" fillId="10" borderId="20" xfId="0" applyFont="1" applyFill="1" applyBorder="1" applyAlignment="1" applyProtection="1">
      <alignment horizontal="center" vertical="center" wrapText="1"/>
      <protection hidden="1"/>
    </xf>
    <xf numFmtId="0" fontId="15" fillId="10" borderId="84" xfId="0" applyFont="1" applyFill="1" applyBorder="1" applyAlignment="1">
      <alignment horizontal="center" vertical="center"/>
    </xf>
    <xf numFmtId="0" fontId="15" fillId="10" borderId="85" xfId="0" applyFont="1" applyFill="1" applyBorder="1" applyAlignment="1">
      <alignment horizontal="center" vertical="center"/>
    </xf>
    <xf numFmtId="0" fontId="15" fillId="10" borderId="86" xfId="0" applyFont="1" applyFill="1" applyBorder="1" applyAlignment="1">
      <alignment horizontal="center" vertical="center"/>
    </xf>
    <xf numFmtId="0" fontId="54" fillId="10" borderId="89" xfId="0" applyFont="1" applyFill="1" applyBorder="1" applyAlignment="1" applyProtection="1">
      <alignment horizontal="center" vertical="center" wrapText="1"/>
      <protection hidden="1"/>
    </xf>
    <xf numFmtId="0" fontId="54" fillId="10" borderId="20" xfId="0" applyFont="1" applyFill="1" applyBorder="1" applyAlignment="1" applyProtection="1">
      <alignment horizontal="center" vertical="center" wrapText="1"/>
      <protection hidden="1"/>
    </xf>
    <xf numFmtId="0" fontId="54" fillId="10" borderId="21" xfId="0" applyFont="1" applyFill="1" applyBorder="1" applyAlignment="1" applyProtection="1">
      <alignment horizontal="center" vertical="center" wrapText="1"/>
      <protection hidden="1"/>
    </xf>
    <xf numFmtId="43" fontId="51" fillId="8" borderId="10" xfId="3" applyFont="1" applyFill="1" applyBorder="1" applyAlignment="1" applyProtection="1">
      <alignment horizontal="left" vertical="top" wrapText="1"/>
      <protection hidden="1"/>
    </xf>
    <xf numFmtId="173" fontId="49" fillId="8" borderId="19" xfId="0" applyNumberFormat="1" applyFont="1" applyFill="1" applyBorder="1" applyAlignment="1" applyProtection="1">
      <alignment horizontal="left" vertical="center"/>
      <protection locked="0" hidden="1"/>
    </xf>
    <xf numFmtId="173" fontId="49" fillId="8" borderId="20" xfId="0" applyNumberFormat="1" applyFont="1" applyFill="1" applyBorder="1" applyAlignment="1" applyProtection="1">
      <alignment horizontal="left" vertical="center"/>
      <protection locked="0" hidden="1"/>
    </xf>
    <xf numFmtId="173" fontId="49" fillId="8" borderId="21" xfId="0" applyNumberFormat="1" applyFont="1" applyFill="1" applyBorder="1" applyAlignment="1" applyProtection="1">
      <alignment horizontal="left" vertical="center"/>
      <protection locked="0" hidden="1"/>
    </xf>
    <xf numFmtId="178" fontId="49" fillId="8" borderId="19" xfId="0" applyNumberFormat="1" applyFont="1" applyFill="1" applyBorder="1" applyAlignment="1" applyProtection="1">
      <alignment horizontal="left" vertical="center"/>
      <protection locked="0" hidden="1"/>
    </xf>
    <xf numFmtId="178" fontId="49" fillId="8" borderId="20" xfId="0" applyNumberFormat="1" applyFont="1" applyFill="1" applyBorder="1" applyAlignment="1" applyProtection="1">
      <alignment horizontal="left" vertical="center"/>
      <protection locked="0" hidden="1"/>
    </xf>
    <xf numFmtId="178" fontId="49" fillId="8" borderId="89" xfId="0" applyNumberFormat="1" applyFont="1" applyFill="1" applyBorder="1" applyAlignment="1" applyProtection="1">
      <alignment horizontal="center" vertical="center"/>
      <protection locked="0" hidden="1"/>
    </xf>
    <xf numFmtId="178" fontId="49" fillId="8" borderId="21" xfId="0" applyNumberFormat="1" applyFont="1" applyFill="1" applyBorder="1" applyAlignment="1" applyProtection="1">
      <alignment horizontal="center" vertical="center"/>
      <protection locked="0" hidden="1"/>
    </xf>
    <xf numFmtId="0" fontId="3" fillId="8" borderId="17" xfId="0" applyFont="1" applyFill="1" applyBorder="1" applyAlignment="1" applyProtection="1">
      <alignment horizontal="center"/>
      <protection locked="0"/>
    </xf>
    <xf numFmtId="0" fontId="3" fillId="10" borderId="17" xfId="0" applyFont="1" applyFill="1" applyBorder="1" applyAlignment="1">
      <alignment horizontal="center" vertical="center"/>
    </xf>
    <xf numFmtId="0" fontId="78" fillId="8" borderId="10" xfId="0" applyFont="1" applyFill="1" applyBorder="1" applyAlignment="1" applyProtection="1">
      <alignment horizontal="left" vertical="center" wrapText="1"/>
      <protection hidden="1"/>
    </xf>
    <xf numFmtId="0" fontId="68" fillId="10" borderId="19" xfId="0" applyFont="1" applyFill="1" applyBorder="1" applyAlignment="1">
      <alignment horizontal="center" vertical="center"/>
    </xf>
    <xf numFmtId="0" fontId="68" fillId="10" borderId="20" xfId="0" applyFont="1" applyFill="1" applyBorder="1" applyAlignment="1">
      <alignment horizontal="center" vertical="center"/>
    </xf>
    <xf numFmtId="0" fontId="68" fillId="10" borderId="21" xfId="0" applyFont="1" applyFill="1" applyBorder="1" applyAlignment="1">
      <alignment horizontal="center" vertical="center"/>
    </xf>
    <xf numFmtId="173" fontId="52" fillId="2" borderId="17" xfId="0" applyNumberFormat="1" applyFont="1" applyFill="1" applyBorder="1" applyAlignment="1">
      <alignment horizontal="center" vertical="center"/>
    </xf>
    <xf numFmtId="0" fontId="34" fillId="18" borderId="19" xfId="0" applyFont="1" applyFill="1" applyBorder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18" borderId="21" xfId="0" applyFont="1" applyFill="1" applyBorder="1" applyAlignment="1">
      <alignment horizontal="center" vertical="center"/>
    </xf>
    <xf numFmtId="178" fontId="49" fillId="8" borderId="17" xfId="0" applyNumberFormat="1" applyFont="1" applyFill="1" applyBorder="1" applyAlignment="1" applyProtection="1">
      <alignment horizontal="center" vertical="center"/>
      <protection locked="0" hidden="1"/>
    </xf>
    <xf numFmtId="0" fontId="3" fillId="2" borderId="17" xfId="0" applyFont="1" applyFill="1" applyBorder="1" applyAlignment="1">
      <alignment horizontal="left"/>
    </xf>
    <xf numFmtId="170" fontId="0" fillId="0" borderId="17" xfId="0" applyNumberFormat="1" applyBorder="1" applyAlignment="1" applyProtection="1">
      <alignment horizontal="center"/>
      <protection locked="0"/>
    </xf>
    <xf numFmtId="0" fontId="14" fillId="2" borderId="23" xfId="0" applyFont="1" applyFill="1" applyBorder="1" applyAlignment="1">
      <alignment horizontal="left" vertical="center"/>
    </xf>
    <xf numFmtId="0" fontId="14" fillId="2" borderId="22" xfId="0" applyFont="1" applyFill="1" applyBorder="1" applyAlignment="1">
      <alignment horizontal="left" vertical="center"/>
    </xf>
    <xf numFmtId="0" fontId="14" fillId="2" borderId="24" xfId="0" applyFont="1" applyFill="1" applyBorder="1" applyAlignment="1">
      <alignment horizontal="left" vertical="center"/>
    </xf>
    <xf numFmtId="0" fontId="14" fillId="2" borderId="30" xfId="0" applyFont="1" applyFill="1" applyBorder="1" applyAlignment="1">
      <alignment horizontal="left" vertical="center"/>
    </xf>
    <xf numFmtId="0" fontId="14" fillId="2" borderId="27" xfId="0" applyFont="1" applyFill="1" applyBorder="1" applyAlignment="1">
      <alignment horizontal="left" vertical="center"/>
    </xf>
    <xf numFmtId="0" fontId="14" fillId="2" borderId="28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horizontal="left" vertical="center"/>
    </xf>
    <xf numFmtId="173" fontId="3" fillId="18" borderId="20" xfId="0" applyNumberFormat="1" applyFont="1" applyFill="1" applyBorder="1" applyAlignment="1">
      <alignment horizontal="center" vertical="center"/>
    </xf>
    <xf numFmtId="0" fontId="3" fillId="18" borderId="19" xfId="0" applyFont="1" applyFill="1" applyBorder="1" applyAlignment="1">
      <alignment horizontal="center" vertical="center"/>
    </xf>
    <xf numFmtId="0" fontId="3" fillId="18" borderId="20" xfId="0" applyFont="1" applyFill="1" applyBorder="1" applyAlignment="1">
      <alignment horizontal="center" vertical="center"/>
    </xf>
    <xf numFmtId="0" fontId="3" fillId="18" borderId="21" xfId="0" applyFont="1" applyFill="1" applyBorder="1" applyAlignment="1">
      <alignment horizontal="center" vertical="center"/>
    </xf>
    <xf numFmtId="173" fontId="3" fillId="2" borderId="19" xfId="0" applyNumberFormat="1" applyFont="1" applyFill="1" applyBorder="1" applyAlignment="1">
      <alignment horizontal="center"/>
    </xf>
    <xf numFmtId="173" fontId="3" fillId="2" borderId="20" xfId="0" applyNumberFormat="1" applyFont="1" applyFill="1" applyBorder="1" applyAlignment="1">
      <alignment horizontal="center"/>
    </xf>
    <xf numFmtId="170" fontId="5" fillId="8" borderId="17" xfId="0" applyNumberFormat="1" applyFont="1" applyFill="1" applyBorder="1" applyAlignment="1" applyProtection="1">
      <alignment horizontal="center" vertical="center"/>
      <protection locked="0"/>
    </xf>
    <xf numFmtId="0" fontId="3" fillId="8" borderId="10" xfId="0" applyFont="1" applyFill="1" applyBorder="1" applyAlignment="1">
      <alignment horizontal="left" vertical="center"/>
    </xf>
    <xf numFmtId="170" fontId="5" fillId="8" borderId="10" xfId="0" applyNumberFormat="1" applyFont="1" applyFill="1" applyBorder="1" applyAlignment="1" applyProtection="1">
      <alignment horizontal="center" vertical="center"/>
      <protection locked="0"/>
    </xf>
    <xf numFmtId="0" fontId="52" fillId="8" borderId="10" xfId="0" applyFont="1" applyFill="1" applyBorder="1" applyAlignment="1">
      <alignment horizontal="left" vertical="top" wrapText="1"/>
    </xf>
    <xf numFmtId="0" fontId="3" fillId="2" borderId="19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170" fontId="5" fillId="8" borderId="19" xfId="0" applyNumberFormat="1" applyFont="1" applyFill="1" applyBorder="1" applyAlignment="1" applyProtection="1">
      <alignment horizontal="center" vertical="center"/>
      <protection locked="0"/>
    </xf>
    <xf numFmtId="170" fontId="5" fillId="8" borderId="20" xfId="0" applyNumberFormat="1" applyFont="1" applyFill="1" applyBorder="1" applyAlignment="1" applyProtection="1">
      <alignment horizontal="center" vertical="center"/>
      <protection locked="0"/>
    </xf>
    <xf numFmtId="170" fontId="5" fillId="8" borderId="21" xfId="0" applyNumberFormat="1" applyFont="1" applyFill="1" applyBorder="1" applyAlignment="1" applyProtection="1">
      <alignment horizontal="center" vertical="center"/>
      <protection locked="0"/>
    </xf>
    <xf numFmtId="0" fontId="14" fillId="2" borderId="23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3" fillId="18" borderId="23" xfId="0" applyFont="1" applyFill="1" applyBorder="1" applyAlignment="1">
      <alignment horizontal="left"/>
    </xf>
    <xf numFmtId="0" fontId="3" fillId="18" borderId="22" xfId="0" applyFont="1" applyFill="1" applyBorder="1" applyAlignment="1">
      <alignment horizontal="left"/>
    </xf>
    <xf numFmtId="0" fontId="3" fillId="18" borderId="24" xfId="0" applyFont="1" applyFill="1" applyBorder="1" applyAlignment="1">
      <alignment horizontal="left"/>
    </xf>
    <xf numFmtId="170" fontId="0" fillId="8" borderId="19" xfId="0" applyNumberFormat="1" applyFill="1" applyBorder="1" applyAlignment="1" applyProtection="1">
      <alignment horizontal="center"/>
      <protection locked="0"/>
    </xf>
    <xf numFmtId="170" fontId="0" fillId="8" borderId="20" xfId="0" applyNumberFormat="1" applyFill="1" applyBorder="1" applyAlignment="1" applyProtection="1">
      <alignment horizontal="center"/>
      <protection locked="0"/>
    </xf>
    <xf numFmtId="170" fontId="0" fillId="8" borderId="21" xfId="0" applyNumberFormat="1" applyFill="1" applyBorder="1" applyAlignment="1" applyProtection="1">
      <alignment horizontal="center"/>
      <protection locked="0"/>
    </xf>
    <xf numFmtId="0" fontId="3" fillId="10" borderId="17" xfId="0" applyFont="1" applyFill="1" applyBorder="1" applyAlignment="1">
      <alignment horizontal="center"/>
    </xf>
    <xf numFmtId="14" fontId="3" fillId="0" borderId="17" xfId="0" applyNumberFormat="1" applyFont="1" applyBorder="1" applyAlignment="1" applyProtection="1">
      <alignment horizontal="center"/>
      <protection locked="0"/>
    </xf>
    <xf numFmtId="14" fontId="3" fillId="0" borderId="19" xfId="0" applyNumberFormat="1" applyFont="1" applyBorder="1" applyAlignment="1" applyProtection="1">
      <alignment horizontal="center"/>
      <protection locked="0"/>
    </xf>
    <xf numFmtId="0" fontId="19" fillId="12" borderId="19" xfId="0" applyFont="1" applyFill="1" applyBorder="1" applyAlignment="1">
      <alignment horizontal="left" vertical="center"/>
    </xf>
    <xf numFmtId="0" fontId="19" fillId="12" borderId="20" xfId="0" applyFont="1" applyFill="1" applyBorder="1" applyAlignment="1">
      <alignment horizontal="left" vertical="center"/>
    </xf>
    <xf numFmtId="0" fontId="19" fillId="12" borderId="21" xfId="0" applyFont="1" applyFill="1" applyBorder="1" applyAlignment="1">
      <alignment horizontal="left" vertical="center"/>
    </xf>
    <xf numFmtId="0" fontId="19" fillId="7" borderId="19" xfId="0" applyFont="1" applyFill="1" applyBorder="1" applyAlignment="1" applyProtection="1">
      <alignment horizontal="center" vertical="center"/>
      <protection locked="0"/>
    </xf>
    <xf numFmtId="0" fontId="19" fillId="7" borderId="20" xfId="0" applyFont="1" applyFill="1" applyBorder="1" applyAlignment="1" applyProtection="1">
      <alignment horizontal="center" vertical="center"/>
      <protection locked="0"/>
    </xf>
    <xf numFmtId="0" fontId="19" fillId="7" borderId="21" xfId="0" applyFont="1" applyFill="1" applyBorder="1" applyAlignment="1" applyProtection="1">
      <alignment horizontal="center" vertical="center"/>
      <protection locked="0"/>
    </xf>
    <xf numFmtId="0" fontId="19" fillId="12" borderId="19" xfId="0" applyFont="1" applyFill="1" applyBorder="1" applyAlignment="1">
      <alignment horizontal="left" vertical="center" wrapText="1"/>
    </xf>
    <xf numFmtId="0" fontId="19" fillId="12" borderId="20" xfId="0" applyFont="1" applyFill="1" applyBorder="1" applyAlignment="1">
      <alignment horizontal="left" vertical="center" wrapText="1"/>
    </xf>
    <xf numFmtId="0" fontId="29" fillId="35" borderId="19" xfId="0" applyFont="1" applyFill="1" applyBorder="1" applyAlignment="1" applyProtection="1">
      <alignment horizontal="center" vertical="center" wrapText="1"/>
      <protection locked="0"/>
    </xf>
    <xf numFmtId="0" fontId="29" fillId="35" borderId="20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Border="1"/>
    <xf numFmtId="0" fontId="3" fillId="18" borderId="17" xfId="0" applyFont="1" applyFill="1" applyBorder="1" applyAlignment="1">
      <alignment horizontal="left"/>
    </xf>
    <xf numFmtId="0" fontId="32" fillId="10" borderId="30" xfId="0" applyFont="1" applyFill="1" applyBorder="1" applyAlignment="1">
      <alignment horizontal="left" vertical="top" wrapText="1"/>
    </xf>
    <xf numFmtId="0" fontId="32" fillId="10" borderId="27" xfId="0" applyFont="1" applyFill="1" applyBorder="1" applyAlignment="1">
      <alignment horizontal="left" vertical="top" wrapText="1"/>
    </xf>
    <xf numFmtId="0" fontId="32" fillId="10" borderId="20" xfId="0" applyFont="1" applyFill="1" applyBorder="1" applyAlignment="1">
      <alignment horizontal="left" vertical="top" wrapText="1"/>
    </xf>
    <xf numFmtId="0" fontId="32" fillId="10" borderId="21" xfId="0" applyFont="1" applyFill="1" applyBorder="1" applyAlignment="1">
      <alignment horizontal="left" vertical="top" wrapText="1"/>
    </xf>
    <xf numFmtId="0" fontId="19" fillId="12" borderId="21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7" borderId="19" xfId="0" applyFont="1" applyFill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29" fillId="11" borderId="19" xfId="0" applyFont="1" applyFill="1" applyBorder="1" applyAlignment="1" applyProtection="1">
      <alignment horizontal="center" vertical="center" wrapText="1"/>
      <protection locked="0"/>
    </xf>
    <xf numFmtId="0" fontId="29" fillId="11" borderId="20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0" fillId="10" borderId="19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3" fillId="12" borderId="19" xfId="0" applyFont="1" applyFill="1" applyBorder="1" applyAlignment="1">
      <alignment horizontal="left" vertical="center"/>
    </xf>
    <xf numFmtId="0" fontId="3" fillId="12" borderId="20" xfId="0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left" vertical="center"/>
    </xf>
    <xf numFmtId="0" fontId="3" fillId="8" borderId="19" xfId="0" applyFont="1" applyFill="1" applyBorder="1" applyAlignment="1" applyProtection="1">
      <alignment horizontal="center" vertical="center"/>
      <protection locked="0"/>
    </xf>
    <xf numFmtId="0" fontId="3" fillId="8" borderId="20" xfId="0" applyFont="1" applyFill="1" applyBorder="1" applyAlignment="1" applyProtection="1">
      <alignment horizontal="center" vertical="center"/>
      <protection locked="0"/>
    </xf>
    <xf numFmtId="0" fontId="3" fillId="8" borderId="21" xfId="0" applyFont="1" applyFill="1" applyBorder="1" applyAlignment="1" applyProtection="1">
      <alignment horizontal="center" vertical="center"/>
      <protection locked="0"/>
    </xf>
    <xf numFmtId="0" fontId="3" fillId="2" borderId="19" xfId="0" applyFont="1" applyFill="1" applyBorder="1" applyAlignment="1">
      <alignment horizontal="right"/>
    </xf>
    <xf numFmtId="0" fontId="3" fillId="2" borderId="20" xfId="0" applyFont="1" applyFill="1" applyBorder="1" applyAlignment="1">
      <alignment horizontal="right"/>
    </xf>
    <xf numFmtId="0" fontId="3" fillId="2" borderId="21" xfId="0" applyFont="1" applyFill="1" applyBorder="1" applyAlignment="1">
      <alignment horizontal="right"/>
    </xf>
    <xf numFmtId="0" fontId="3" fillId="2" borderId="19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21" xfId="0" applyFont="1" applyFill="1" applyBorder="1" applyAlignment="1">
      <alignment horizontal="left"/>
    </xf>
    <xf numFmtId="173" fontId="0" fillId="10" borderId="19" xfId="0" applyNumberFormat="1" applyFill="1" applyBorder="1" applyAlignment="1">
      <alignment horizontal="center" vertical="center"/>
    </xf>
    <xf numFmtId="173" fontId="0" fillId="10" borderId="20" xfId="0" applyNumberFormat="1" applyFill="1" applyBorder="1" applyAlignment="1">
      <alignment horizontal="center" vertical="center"/>
    </xf>
    <xf numFmtId="173" fontId="0" fillId="10" borderId="21" xfId="0" applyNumberFormat="1" applyFill="1" applyBorder="1" applyAlignment="1">
      <alignment horizontal="center" vertical="center"/>
    </xf>
    <xf numFmtId="0" fontId="4" fillId="10" borderId="19" xfId="0" applyFont="1" applyFill="1" applyBorder="1" applyAlignment="1">
      <alignment horizontal="left"/>
    </xf>
    <xf numFmtId="0" fontId="4" fillId="10" borderId="20" xfId="0" applyFont="1" applyFill="1" applyBorder="1" applyAlignment="1">
      <alignment horizontal="left"/>
    </xf>
    <xf numFmtId="0" fontId="4" fillId="10" borderId="21" xfId="0" applyFont="1" applyFill="1" applyBorder="1" applyAlignment="1">
      <alignment horizontal="left"/>
    </xf>
    <xf numFmtId="0" fontId="4" fillId="10" borderId="19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0" borderId="21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14" fillId="2" borderId="31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4" fillId="2" borderId="25" xfId="0" applyFont="1" applyFill="1" applyBorder="1" applyAlignment="1">
      <alignment horizontal="left" vertical="center"/>
    </xf>
    <xf numFmtId="173" fontId="0" fillId="0" borderId="19" xfId="0" applyNumberFormat="1" applyBorder="1" applyAlignment="1">
      <alignment horizontal="center" vertical="center"/>
    </xf>
    <xf numFmtId="173" fontId="0" fillId="0" borderId="20" xfId="0" applyNumberFormat="1" applyBorder="1" applyAlignment="1">
      <alignment horizontal="center" vertical="center"/>
    </xf>
    <xf numFmtId="173" fontId="0" fillId="0" borderId="21" xfId="0" applyNumberForma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3" fillId="7" borderId="19" xfId="0" applyNumberFormat="1" applyFont="1" applyFill="1" applyBorder="1" applyAlignment="1" applyProtection="1">
      <alignment horizontal="center" vertical="center"/>
      <protection locked="0"/>
    </xf>
    <xf numFmtId="166" fontId="3" fillId="7" borderId="20" xfId="0" applyNumberFormat="1" applyFont="1" applyFill="1" applyBorder="1" applyAlignment="1" applyProtection="1">
      <alignment horizontal="center" vertical="center"/>
      <protection locked="0"/>
    </xf>
    <xf numFmtId="166" fontId="3" fillId="7" borderId="21" xfId="0" applyNumberFormat="1" applyFont="1" applyFill="1" applyBorder="1" applyAlignment="1" applyProtection="1">
      <alignment horizontal="center" vertical="center"/>
      <protection locked="0"/>
    </xf>
    <xf numFmtId="0" fontId="18" fillId="8" borderId="10" xfId="0" applyFont="1" applyFill="1" applyBorder="1" applyAlignment="1">
      <alignment horizontal="left" vertical="center"/>
    </xf>
    <xf numFmtId="0" fontId="2" fillId="10" borderId="19" xfId="0" applyFont="1" applyFill="1" applyBorder="1" applyAlignment="1">
      <alignment horizontal="center"/>
    </xf>
    <xf numFmtId="0" fontId="6" fillId="12" borderId="19" xfId="0" applyFont="1" applyFill="1" applyBorder="1" applyAlignment="1">
      <alignment horizontal="left" vertical="center" wrapText="1"/>
    </xf>
    <xf numFmtId="0" fontId="6" fillId="12" borderId="20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/>
    </xf>
    <xf numFmtId="0" fontId="28" fillId="10" borderId="23" xfId="0" applyFont="1" applyFill="1" applyBorder="1" applyAlignment="1">
      <alignment horizontal="center" vertical="center"/>
    </xf>
    <xf numFmtId="0" fontId="28" fillId="10" borderId="22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2" fillId="10" borderId="21" xfId="0" applyFont="1" applyFill="1" applyBorder="1" applyAlignment="1">
      <alignment horizontal="center" vertical="center" wrapText="1"/>
    </xf>
    <xf numFmtId="0" fontId="3" fillId="7" borderId="21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>
      <alignment horizontal="center"/>
    </xf>
    <xf numFmtId="173" fontId="3" fillId="2" borderId="21" xfId="0" applyNumberFormat="1" applyFont="1" applyFill="1" applyBorder="1" applyAlignment="1">
      <alignment horizontal="center"/>
    </xf>
    <xf numFmtId="0" fontId="6" fillId="12" borderId="21" xfId="0" applyFont="1" applyFill="1" applyBorder="1" applyAlignment="1">
      <alignment horizontal="left" vertical="center" wrapText="1"/>
    </xf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29" fillId="11" borderId="21" xfId="0" applyFont="1" applyFill="1" applyBorder="1" applyAlignment="1" applyProtection="1">
      <alignment horizontal="center" vertical="center" wrapText="1"/>
      <protection locked="0"/>
    </xf>
    <xf numFmtId="0" fontId="29" fillId="35" borderId="21" xfId="0" applyFont="1" applyFill="1" applyBorder="1" applyAlignment="1" applyProtection="1">
      <alignment horizontal="center" vertical="center" wrapText="1"/>
      <protection locked="0"/>
    </xf>
    <xf numFmtId="0" fontId="89" fillId="10" borderId="17" xfId="0" applyFont="1" applyFill="1" applyBorder="1" applyAlignment="1">
      <alignment horizontal="center" vertical="center"/>
    </xf>
    <xf numFmtId="0" fontId="89" fillId="10" borderId="19" xfId="0" applyFont="1" applyFill="1" applyBorder="1" applyAlignment="1">
      <alignment horizontal="center" vertical="center"/>
    </xf>
    <xf numFmtId="0" fontId="89" fillId="10" borderId="20" xfId="0" applyFont="1" applyFill="1" applyBorder="1" applyAlignment="1">
      <alignment horizontal="center" vertical="center"/>
    </xf>
    <xf numFmtId="0" fontId="89" fillId="10" borderId="21" xfId="0" applyFont="1" applyFill="1" applyBorder="1" applyAlignment="1">
      <alignment horizontal="center" vertical="center"/>
    </xf>
    <xf numFmtId="2" fontId="89" fillId="10" borderId="19" xfId="0" applyNumberFormat="1" applyFont="1" applyFill="1" applyBorder="1" applyAlignment="1">
      <alignment horizontal="center" vertical="center" wrapText="1"/>
    </xf>
    <xf numFmtId="2" fontId="89" fillId="10" borderId="20" xfId="0" applyNumberFormat="1" applyFont="1" applyFill="1" applyBorder="1" applyAlignment="1">
      <alignment horizontal="center" vertical="center" wrapText="1"/>
    </xf>
    <xf numFmtId="2" fontId="89" fillId="10" borderId="21" xfId="0" applyNumberFormat="1" applyFont="1" applyFill="1" applyBorder="1" applyAlignment="1">
      <alignment horizontal="center" vertical="center" wrapText="1"/>
    </xf>
    <xf numFmtId="0" fontId="89" fillId="10" borderId="19" xfId="0" applyFont="1" applyFill="1" applyBorder="1" applyAlignment="1">
      <alignment horizontal="center" vertical="center" wrapText="1"/>
    </xf>
    <xf numFmtId="0" fontId="89" fillId="10" borderId="20" xfId="0" applyFont="1" applyFill="1" applyBorder="1" applyAlignment="1">
      <alignment horizontal="center" vertical="center" wrapText="1"/>
    </xf>
    <xf numFmtId="0" fontId="89" fillId="10" borderId="21" xfId="0" applyFont="1" applyFill="1" applyBorder="1" applyAlignment="1">
      <alignment horizontal="center" vertical="center" wrapText="1"/>
    </xf>
    <xf numFmtId="170" fontId="5" fillId="8" borderId="10" xfId="0" applyNumberFormat="1" applyFont="1" applyFill="1" applyBorder="1" applyAlignment="1">
      <alignment horizontal="center" vertical="center"/>
    </xf>
    <xf numFmtId="14" fontId="3" fillId="0" borderId="17" xfId="0" applyNumberFormat="1" applyFont="1" applyBorder="1" applyAlignment="1">
      <alignment horizontal="center"/>
    </xf>
    <xf numFmtId="0" fontId="77" fillId="8" borderId="10" xfId="0" applyFont="1" applyFill="1" applyBorder="1" applyAlignment="1">
      <alignment horizontal="left" vertical="top" wrapText="1"/>
    </xf>
    <xf numFmtId="0" fontId="2" fillId="8" borderId="17" xfId="0" applyFont="1" applyFill="1" applyBorder="1" applyAlignment="1" applyProtection="1">
      <alignment horizontal="center" vertical="center"/>
      <protection locked="0"/>
    </xf>
    <xf numFmtId="0" fontId="20" fillId="8" borderId="19" xfId="0" applyFont="1" applyFill="1" applyBorder="1" applyAlignment="1">
      <alignment horizontal="center" vertical="center"/>
    </xf>
    <xf numFmtId="0" fontId="20" fillId="8" borderId="20" xfId="0" applyFont="1" applyFill="1" applyBorder="1" applyAlignment="1">
      <alignment horizontal="center" vertical="center"/>
    </xf>
    <xf numFmtId="0" fontId="20" fillId="8" borderId="21" xfId="0" applyFont="1" applyFill="1" applyBorder="1" applyAlignment="1">
      <alignment horizontal="center" vertical="center"/>
    </xf>
    <xf numFmtId="0" fontId="2" fillId="8" borderId="19" xfId="0" applyFont="1" applyFill="1" applyBorder="1" applyAlignment="1" applyProtection="1">
      <alignment horizontal="center" vertical="center"/>
      <protection locked="0"/>
    </xf>
    <xf numFmtId="0" fontId="2" fillId="8" borderId="20" xfId="0" applyFont="1" applyFill="1" applyBorder="1" applyAlignment="1" applyProtection="1">
      <alignment horizontal="center" vertical="center"/>
      <protection locked="0"/>
    </xf>
    <xf numFmtId="0" fontId="2" fillId="8" borderId="21" xfId="0" applyFont="1" applyFill="1" applyBorder="1" applyAlignment="1" applyProtection="1">
      <alignment horizontal="center" vertical="center"/>
      <protection locked="0"/>
    </xf>
    <xf numFmtId="0" fontId="2" fillId="8" borderId="19" xfId="0" applyFont="1" applyFill="1" applyBorder="1" applyAlignment="1" applyProtection="1">
      <alignment horizontal="center" vertical="center" wrapText="1"/>
      <protection locked="0"/>
    </xf>
    <xf numFmtId="0" fontId="2" fillId="8" borderId="20" xfId="0" applyFont="1" applyFill="1" applyBorder="1" applyAlignment="1" applyProtection="1">
      <alignment horizontal="center" vertical="center" wrapText="1"/>
      <protection locked="0"/>
    </xf>
    <xf numFmtId="0" fontId="2" fillId="8" borderId="21" xfId="0" applyFont="1" applyFill="1" applyBorder="1" applyAlignment="1" applyProtection="1">
      <alignment horizontal="center" vertical="center" wrapText="1"/>
      <protection locked="0"/>
    </xf>
    <xf numFmtId="0" fontId="20" fillId="8" borderId="19" xfId="0" applyFont="1" applyFill="1" applyBorder="1" applyAlignment="1">
      <alignment horizontal="center" vertical="center" wrapText="1"/>
    </xf>
    <xf numFmtId="0" fontId="20" fillId="8" borderId="20" xfId="0" applyFont="1" applyFill="1" applyBorder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3" fillId="15" borderId="26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29" xfId="0" applyFont="1" applyFill="1" applyBorder="1" applyAlignment="1">
      <alignment horizontal="center" vertical="center"/>
    </xf>
    <xf numFmtId="0" fontId="6" fillId="20" borderId="19" xfId="0" applyFont="1" applyFill="1" applyBorder="1" applyAlignment="1">
      <alignment horizontal="center"/>
    </xf>
    <xf numFmtId="0" fontId="6" fillId="20" borderId="20" xfId="0" applyFont="1" applyFill="1" applyBorder="1" applyAlignment="1">
      <alignment horizontal="center"/>
    </xf>
    <xf numFmtId="0" fontId="6" fillId="15" borderId="26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29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wrapText="1"/>
    </xf>
    <xf numFmtId="0" fontId="6" fillId="4" borderId="33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wrapText="1"/>
    </xf>
    <xf numFmtId="0" fontId="4" fillId="0" borderId="36" xfId="0" applyFont="1" applyBorder="1" applyAlignment="1">
      <alignment wrapText="1"/>
    </xf>
    <xf numFmtId="0" fontId="6" fillId="20" borderId="27" xfId="0" applyFont="1" applyFill="1" applyBorder="1" applyAlignment="1">
      <alignment horizontal="center"/>
    </xf>
    <xf numFmtId="0" fontId="36" fillId="4" borderId="22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Protection="1">
      <protection locked="0"/>
    </xf>
    <xf numFmtId="0" fontId="6" fillId="0" borderId="10" xfId="0" applyFont="1" applyBorder="1" applyAlignment="1">
      <alignment horizontal="center"/>
    </xf>
    <xf numFmtId="0" fontId="63" fillId="8" borderId="74" xfId="0" applyFont="1" applyFill="1" applyBorder="1" applyAlignment="1">
      <alignment horizontal="center" vertical="center"/>
    </xf>
    <xf numFmtId="0" fontId="63" fillId="8" borderId="0" xfId="0" applyFont="1" applyFill="1" applyAlignment="1">
      <alignment horizontal="center" vertical="center"/>
    </xf>
    <xf numFmtId="2" fontId="64" fillId="8" borderId="0" xfId="0" applyNumberFormat="1" applyFont="1" applyFill="1" applyAlignment="1">
      <alignment horizontal="center" vertical="center"/>
    </xf>
    <xf numFmtId="0" fontId="61" fillId="32" borderId="0" xfId="0" applyFont="1" applyFill="1" applyAlignment="1">
      <alignment horizontal="center" vertical="center" wrapText="1"/>
    </xf>
    <xf numFmtId="0" fontId="55" fillId="28" borderId="55" xfId="0" applyFont="1" applyFill="1" applyBorder="1" applyAlignment="1" applyProtection="1">
      <alignment horizontal="center" vertical="center"/>
      <protection hidden="1"/>
    </xf>
    <xf numFmtId="0" fontId="56" fillId="0" borderId="56" xfId="0" applyFont="1" applyBorder="1" applyAlignment="1" applyProtection="1">
      <alignment vertical="center"/>
      <protection hidden="1"/>
    </xf>
    <xf numFmtId="0" fontId="56" fillId="0" borderId="57" xfId="0" applyFont="1" applyBorder="1" applyAlignment="1" applyProtection="1">
      <alignment vertical="center"/>
      <protection hidden="1"/>
    </xf>
    <xf numFmtId="0" fontId="59" fillId="29" borderId="70" xfId="0" applyFont="1" applyFill="1" applyBorder="1" applyAlignment="1" applyProtection="1">
      <alignment horizontal="center" vertical="center"/>
      <protection hidden="1"/>
    </xf>
    <xf numFmtId="0" fontId="59" fillId="29" borderId="72" xfId="0" applyFont="1" applyFill="1" applyBorder="1" applyAlignment="1" applyProtection="1">
      <alignment horizontal="center" vertical="center"/>
      <protection hidden="1"/>
    </xf>
    <xf numFmtId="0" fontId="22" fillId="16" borderId="5" xfId="0" applyFont="1" applyFill="1" applyBorder="1" applyAlignment="1">
      <alignment horizontal="center" vertical="center" wrapText="1"/>
    </xf>
    <xf numFmtId="0" fontId="22" fillId="16" borderId="9" xfId="0" applyFont="1" applyFill="1" applyBorder="1" applyAlignment="1">
      <alignment horizontal="center"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4" fillId="19" borderId="3" xfId="0" applyFont="1" applyFill="1" applyBorder="1" applyAlignment="1">
      <alignment horizontal="center" vertical="center" wrapText="1"/>
    </xf>
    <xf numFmtId="0" fontId="24" fillId="19" borderId="1" xfId="0" applyFont="1" applyFill="1" applyBorder="1" applyAlignment="1">
      <alignment horizontal="center" vertical="center" wrapText="1"/>
    </xf>
    <xf numFmtId="0" fontId="23" fillId="19" borderId="7" xfId="0" applyFont="1" applyFill="1" applyBorder="1" applyAlignment="1">
      <alignment horizontal="center" vertical="center" wrapText="1"/>
    </xf>
    <xf numFmtId="0" fontId="23" fillId="19" borderId="11" xfId="0" applyFont="1" applyFill="1" applyBorder="1" applyAlignment="1">
      <alignment horizontal="center" vertical="center" wrapText="1"/>
    </xf>
    <xf numFmtId="0" fontId="23" fillId="19" borderId="8" xfId="0" applyFont="1" applyFill="1" applyBorder="1" applyAlignment="1">
      <alignment horizontal="center" vertical="center" wrapText="1"/>
    </xf>
    <xf numFmtId="0" fontId="22" fillId="16" borderId="17" xfId="0" applyFont="1" applyFill="1" applyBorder="1" applyAlignment="1">
      <alignment horizontal="center"/>
    </xf>
    <xf numFmtId="0" fontId="28" fillId="19" borderId="17" xfId="0" applyFont="1" applyFill="1" applyBorder="1" applyAlignment="1">
      <alignment horizontal="center" vertical="center"/>
    </xf>
    <xf numFmtId="0" fontId="22" fillId="16" borderId="3" xfId="0" applyFont="1" applyFill="1" applyBorder="1" applyAlignment="1">
      <alignment horizontal="center" vertical="center" wrapText="1"/>
    </xf>
    <xf numFmtId="0" fontId="22" fillId="16" borderId="2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23" fillId="19" borderId="3" xfId="0" applyFont="1" applyFill="1" applyBorder="1" applyAlignment="1">
      <alignment horizontal="center" vertical="center" wrapText="1"/>
    </xf>
    <xf numFmtId="0" fontId="23" fillId="19" borderId="1" xfId="0" applyFont="1" applyFill="1" applyBorder="1" applyAlignment="1">
      <alignment horizontal="center" vertical="center" wrapText="1"/>
    </xf>
    <xf numFmtId="0" fontId="24" fillId="19" borderId="14" xfId="0" applyFont="1" applyFill="1" applyBorder="1" applyAlignment="1">
      <alignment horizontal="center" vertical="center" wrapText="1"/>
    </xf>
    <xf numFmtId="0" fontId="24" fillId="19" borderId="16" xfId="0" applyFont="1" applyFill="1" applyBorder="1" applyAlignment="1">
      <alignment horizontal="center" vertical="center" wrapText="1"/>
    </xf>
    <xf numFmtId="0" fontId="23" fillId="19" borderId="14" xfId="0" applyFont="1" applyFill="1" applyBorder="1" applyAlignment="1">
      <alignment horizontal="center" vertical="center" wrapText="1"/>
    </xf>
    <xf numFmtId="0" fontId="23" fillId="19" borderId="16" xfId="0" applyFont="1" applyFill="1" applyBorder="1" applyAlignment="1">
      <alignment horizontal="center" vertical="center" wrapText="1"/>
    </xf>
    <xf numFmtId="0" fontId="74" fillId="0" borderId="31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2" fillId="36" borderId="0" xfId="0" applyFont="1" applyFill="1" applyAlignment="1">
      <alignment horizontal="center" vertical="center"/>
    </xf>
    <xf numFmtId="0" fontId="73" fillId="0" borderId="23" xfId="0" applyFont="1" applyBorder="1" applyAlignment="1" applyProtection="1">
      <alignment horizontal="center" vertical="center"/>
      <protection locked="0"/>
    </xf>
    <xf numFmtId="0" fontId="73" fillId="0" borderId="22" xfId="0" applyFont="1" applyBorder="1" applyAlignment="1" applyProtection="1">
      <alignment horizontal="center" vertical="center"/>
      <protection locked="0"/>
    </xf>
    <xf numFmtId="0" fontId="73" fillId="0" borderId="24" xfId="0" applyFont="1" applyBorder="1" applyAlignment="1" applyProtection="1">
      <alignment horizontal="center" vertical="center"/>
      <protection locked="0"/>
    </xf>
    <xf numFmtId="0" fontId="73" fillId="0" borderId="27" xfId="0" applyFont="1" applyBorder="1" applyAlignment="1" applyProtection="1">
      <alignment horizontal="center" vertical="center"/>
      <protection locked="0"/>
    </xf>
    <xf numFmtId="0" fontId="74" fillId="0" borderId="31" xfId="0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49" fontId="40" fillId="0" borderId="31" xfId="0" applyNumberFormat="1" applyFont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center" vertical="center"/>
      <protection locked="0"/>
    </xf>
    <xf numFmtId="0" fontId="40" fillId="0" borderId="10" xfId="0" applyFont="1" applyBorder="1" applyAlignment="1" applyProtection="1">
      <alignment horizontal="center" vertical="center"/>
      <protection locked="0"/>
    </xf>
    <xf numFmtId="0" fontId="40" fillId="0" borderId="82" xfId="0" applyFont="1" applyBorder="1" applyAlignment="1" applyProtection="1">
      <alignment horizontal="center" vertical="center"/>
      <protection locked="0"/>
    </xf>
    <xf numFmtId="0" fontId="40" fillId="0" borderId="83" xfId="0" applyFont="1" applyBorder="1" applyAlignment="1" applyProtection="1">
      <alignment horizontal="center"/>
      <protection locked="0"/>
    </xf>
    <xf numFmtId="0" fontId="40" fillId="0" borderId="27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/>
    </xf>
    <xf numFmtId="0" fontId="40" fillId="0" borderId="31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74" fillId="0" borderId="25" xfId="0" applyFont="1" applyBorder="1" applyAlignment="1">
      <alignment vertical="center"/>
    </xf>
    <xf numFmtId="0" fontId="74" fillId="0" borderId="27" xfId="0" applyFont="1" applyBorder="1" applyAlignment="1" applyProtection="1">
      <alignment horizontal="center" vertical="center"/>
      <protection locked="0"/>
    </xf>
    <xf numFmtId="0" fontId="74" fillId="0" borderId="20" xfId="0" applyFont="1" applyBorder="1" applyAlignment="1" applyProtection="1">
      <alignment horizontal="center" vertical="center"/>
      <protection locked="0"/>
    </xf>
    <xf numFmtId="0" fontId="74" fillId="0" borderId="31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25" xfId="0" applyFont="1" applyBorder="1" applyAlignment="1">
      <alignment horizontal="center" vertical="center"/>
    </xf>
    <xf numFmtId="0" fontId="40" fillId="0" borderId="28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Hiperlink" xfId="2" builtinId="8"/>
    <cellStyle name="Normal" xfId="0" builtinId="0"/>
    <cellStyle name="Normal 3" xfId="1" xr:uid="{43AF1F5C-17BC-442A-A68D-44B53CE76649}"/>
    <cellStyle name="Vírgula" xfId="3" builtinId="3"/>
  </cellStyles>
  <dxfs count="95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solid">
          <fgColor theme="0"/>
          <bgColor theme="0"/>
        </patternFill>
      </fill>
    </dxf>
    <dxf>
      <font>
        <b val="0"/>
        <i val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6" tint="0.59996337778862885"/>
        </patternFill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2" tint="-0.14996795556505021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 val="0"/>
        <i val="0"/>
      </font>
      <fill>
        <patternFill>
          <bgColor theme="2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E2EFDA"/>
      </font>
      <fill>
        <patternFill>
          <bgColor rgb="FFE2EFDA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6" tint="0.59996337778862885"/>
        </pattern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 patternType="solid">
          <fgColor theme="0"/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E2EFDA"/>
      </font>
      <fill>
        <patternFill>
          <bgColor rgb="FFE2EFDA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rgb="FFE2EFDA"/>
      </font>
      <fill>
        <patternFill>
          <bgColor rgb="FFE2EFDA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rgb="FFE2EFDA"/>
      </font>
      <fill>
        <patternFill>
          <bgColor rgb="FFE2EFDA"/>
        </patternFill>
      </fill>
      <border>
        <left style="thin">
          <color auto="1"/>
        </left>
        <right/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 patternType="solid">
          <fgColor theme="0"/>
          <bgColor theme="0" tint="-0.14996795556505021"/>
        </patternFill>
      </fill>
      <border>
        <left style="thin">
          <color rgb="FF000000"/>
        </left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2" tint="-0.14996795556505021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/>
      </font>
      <fill>
        <patternFill>
          <bgColor theme="2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C00000"/>
      </font>
      <fill>
        <patternFill patternType="solid">
          <fgColor rgb="FFFFCCCC"/>
          <bgColor rgb="FFFFCCC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colors>
    <mruColors>
      <color rgb="FFE2EFDA"/>
      <color rgb="FF0033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0</xdr:colOff>
      <xdr:row>31</xdr:row>
      <xdr:rowOff>0</xdr:rowOff>
    </xdr:from>
    <xdr:ext cx="31432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61</xdr:col>
      <xdr:colOff>0</xdr:colOff>
      <xdr:row>55</xdr:row>
      <xdr:rowOff>0</xdr:rowOff>
    </xdr:from>
    <xdr:ext cx="314325" cy="3143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 editAs="oneCell">
    <xdr:from>
      <xdr:col>3</xdr:col>
      <xdr:colOff>91334</xdr:colOff>
      <xdr:row>1</xdr:row>
      <xdr:rowOff>78126</xdr:rowOff>
    </xdr:from>
    <xdr:to>
      <xdr:col>7</xdr:col>
      <xdr:colOff>54221</xdr:colOff>
      <xdr:row>3</xdr:row>
      <xdr:rowOff>74552</xdr:rowOff>
    </xdr:to>
    <xdr:pic>
      <xdr:nvPicPr>
        <xdr:cNvPr id="7" name="Imagem 2">
          <a:extLst>
            <a:ext uri="{FF2B5EF4-FFF2-40B4-BE49-F238E27FC236}">
              <a16:creationId xmlns:a16="http://schemas.microsoft.com/office/drawing/2014/main" id="{982ECB8C-ADB6-4562-A198-577EBBAF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59" y="506751"/>
          <a:ext cx="690597" cy="469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3362</xdr:colOff>
      <xdr:row>1</xdr:row>
      <xdr:rowOff>201706</xdr:rowOff>
    </xdr:from>
    <xdr:ext cx="819150" cy="238125"/>
    <xdr:pic>
      <xdr:nvPicPr>
        <xdr:cNvPr id="8" name="image1.png" descr="Cemig Logo - PNG e Vetor - Download de Logo">
          <a:extLst>
            <a:ext uri="{FF2B5EF4-FFF2-40B4-BE49-F238E27FC236}">
              <a16:creationId xmlns:a16="http://schemas.microsoft.com/office/drawing/2014/main" id="{CC313EBC-32C6-4D77-A66B-89347D3437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7009" y="448235"/>
          <a:ext cx="819150" cy="23812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179293</xdr:colOff>
          <xdr:row>178</xdr:row>
          <xdr:rowOff>75720</xdr:rowOff>
        </xdr:from>
        <xdr:to>
          <xdr:col>61</xdr:col>
          <xdr:colOff>23420</xdr:colOff>
          <xdr:row>178</xdr:row>
          <xdr:rowOff>5127849</xdr:rowOff>
        </xdr:to>
        <xdr:pic>
          <xdr:nvPicPr>
            <xdr:cNvPr id="1091" name="Imagem 3">
              <a:extLst>
                <a:ext uri="{FF2B5EF4-FFF2-40B4-BE49-F238E27FC236}">
                  <a16:creationId xmlns:a16="http://schemas.microsoft.com/office/drawing/2014/main" id="{E1688371-3DB5-3596-D152-9C612E991FC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gramais" spid="_x0000_s3660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37881" y="31093602"/>
              <a:ext cx="10466295" cy="50565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3F199DA-8BD2-4F90-AA49-0215F9F34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33350"/>
          <a:ext cx="4972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307731</xdr:colOff>
      <xdr:row>65</xdr:row>
      <xdr:rowOff>0</xdr:rowOff>
    </xdr:from>
    <xdr:to>
      <xdr:col>22</xdr:col>
      <xdr:colOff>476250</xdr:colOff>
      <xdr:row>65</xdr:row>
      <xdr:rowOff>0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1180B91C-D872-4DFD-A75F-763CE8C1A695}"/>
            </a:ext>
          </a:extLst>
        </xdr:cNvPr>
        <xdr:cNvCxnSpPr/>
      </xdr:nvCxnSpPr>
      <xdr:spPr>
        <a:xfrm>
          <a:off x="4355856" y="12890256"/>
          <a:ext cx="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307731</xdr:colOff>
      <xdr:row>65</xdr:row>
      <xdr:rowOff>0</xdr:rowOff>
    </xdr:from>
    <xdr:to>
      <xdr:col>22</xdr:col>
      <xdr:colOff>476250</xdr:colOff>
      <xdr:row>65</xdr:row>
      <xdr:rowOff>0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6D51A8AD-0FB8-4B3B-B025-237B2DC37665}"/>
            </a:ext>
          </a:extLst>
        </xdr:cNvPr>
        <xdr:cNvCxnSpPr/>
      </xdr:nvCxnSpPr>
      <xdr:spPr>
        <a:xfrm>
          <a:off x="4355856" y="12890256"/>
          <a:ext cx="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11</xdr:row>
          <xdr:rowOff>0</xdr:rowOff>
        </xdr:from>
        <xdr:to>
          <xdr:col>1</xdr:col>
          <xdr:colOff>175260</xdr:colOff>
          <xdr:row>12</xdr:row>
          <xdr:rowOff>30480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11</xdr:row>
          <xdr:rowOff>0</xdr:rowOff>
        </xdr:from>
        <xdr:to>
          <xdr:col>5</xdr:col>
          <xdr:colOff>175260</xdr:colOff>
          <xdr:row>12</xdr:row>
          <xdr:rowOff>30480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9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12</xdr:row>
          <xdr:rowOff>38100</xdr:rowOff>
        </xdr:from>
        <xdr:to>
          <xdr:col>1</xdr:col>
          <xdr:colOff>175260</xdr:colOff>
          <xdr:row>13</xdr:row>
          <xdr:rowOff>68580</xdr:rowOff>
        </xdr:to>
        <xdr:sp macro="" textlink="">
          <xdr:nvSpPr>
            <xdr:cNvPr id="26627" name="Check Box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9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12</xdr:row>
          <xdr:rowOff>38100</xdr:rowOff>
        </xdr:from>
        <xdr:to>
          <xdr:col>5</xdr:col>
          <xdr:colOff>175260</xdr:colOff>
          <xdr:row>13</xdr:row>
          <xdr:rowOff>68580</xdr:rowOff>
        </xdr:to>
        <xdr:sp macro="" textlink="">
          <xdr:nvSpPr>
            <xdr:cNvPr id="26628" name="Check Box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9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16</xdr:row>
          <xdr:rowOff>0</xdr:rowOff>
        </xdr:from>
        <xdr:to>
          <xdr:col>1</xdr:col>
          <xdr:colOff>198120</xdr:colOff>
          <xdr:row>17</xdr:row>
          <xdr:rowOff>30480</xdr:rowOff>
        </xdr:to>
        <xdr:sp macro="" textlink="">
          <xdr:nvSpPr>
            <xdr:cNvPr id="26629" name="Check Box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9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259080</xdr:colOff>
          <xdr:row>16</xdr:row>
          <xdr:rowOff>0</xdr:rowOff>
        </xdr:from>
        <xdr:to>
          <xdr:col>3</xdr:col>
          <xdr:colOff>259080</xdr:colOff>
          <xdr:row>17</xdr:row>
          <xdr:rowOff>30480</xdr:rowOff>
        </xdr:to>
        <xdr:sp macro="" textlink="">
          <xdr:nvSpPr>
            <xdr:cNvPr id="26630" name="Check Box 6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09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16</xdr:row>
          <xdr:rowOff>0</xdr:rowOff>
        </xdr:from>
        <xdr:to>
          <xdr:col>5</xdr:col>
          <xdr:colOff>175260</xdr:colOff>
          <xdr:row>17</xdr:row>
          <xdr:rowOff>30480</xdr:rowOff>
        </xdr:to>
        <xdr:sp macro="" textlink="">
          <xdr:nvSpPr>
            <xdr:cNvPr id="26631" name="Check Box 7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9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220980</xdr:colOff>
          <xdr:row>29</xdr:row>
          <xdr:rowOff>160020</xdr:rowOff>
        </xdr:from>
        <xdr:to>
          <xdr:col>1</xdr:col>
          <xdr:colOff>220980</xdr:colOff>
          <xdr:row>31</xdr:row>
          <xdr:rowOff>45720</xdr:rowOff>
        </xdr:to>
        <xdr:sp macro="" textlink="">
          <xdr:nvSpPr>
            <xdr:cNvPr id="26632" name="Check Box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9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160020</xdr:rowOff>
        </xdr:from>
        <xdr:to>
          <xdr:col>1</xdr:col>
          <xdr:colOff>228600</xdr:colOff>
          <xdr:row>33</xdr:row>
          <xdr:rowOff>45720</xdr:rowOff>
        </xdr:to>
        <xdr:sp macro="" textlink="">
          <xdr:nvSpPr>
            <xdr:cNvPr id="26633" name="Check Box 9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09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236220</xdr:colOff>
          <xdr:row>33</xdr:row>
          <xdr:rowOff>152400</xdr:rowOff>
        </xdr:from>
        <xdr:to>
          <xdr:col>1</xdr:col>
          <xdr:colOff>236220</xdr:colOff>
          <xdr:row>35</xdr:row>
          <xdr:rowOff>38100</xdr:rowOff>
        </xdr:to>
        <xdr:sp macro="" textlink="">
          <xdr:nvSpPr>
            <xdr:cNvPr id="26634" name="Check Box 10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9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4</xdr:col>
          <xdr:colOff>213360</xdr:colOff>
          <xdr:row>40</xdr:row>
          <xdr:rowOff>30480</xdr:rowOff>
        </xdr:to>
        <xdr:sp macro="" textlink="">
          <xdr:nvSpPr>
            <xdr:cNvPr id="26635" name="Check Box 11" hidden="1">
              <a:extLst>
                <a:ext uri="{63B3BB69-23CF-44E3-9099-C40C66FF867C}">
                  <a14:compatExt spid="_x0000_s26635"/>
                </a:ext>
                <a:ext uri="{FF2B5EF4-FFF2-40B4-BE49-F238E27FC236}">
                  <a16:creationId xmlns:a16="http://schemas.microsoft.com/office/drawing/2014/main" id="{00000000-0008-0000-0900-00000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40</xdr:row>
          <xdr:rowOff>7620</xdr:rowOff>
        </xdr:from>
        <xdr:to>
          <xdr:col>4</xdr:col>
          <xdr:colOff>373380</xdr:colOff>
          <xdr:row>41</xdr:row>
          <xdr:rowOff>38100</xdr:rowOff>
        </xdr:to>
        <xdr:sp macro="" textlink="">
          <xdr:nvSpPr>
            <xdr:cNvPr id="26636" name="Check Box 12" hidden="1">
              <a:extLst>
                <a:ext uri="{63B3BB69-23CF-44E3-9099-C40C66FF867C}">
                  <a14:compatExt spid="_x0000_s26636"/>
                </a:ext>
                <a:ext uri="{FF2B5EF4-FFF2-40B4-BE49-F238E27FC236}">
                  <a16:creationId xmlns:a16="http://schemas.microsoft.com/office/drawing/2014/main" id="{00000000-0008-0000-0900-00000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41</xdr:row>
          <xdr:rowOff>7620</xdr:rowOff>
        </xdr:from>
        <xdr:to>
          <xdr:col>4</xdr:col>
          <xdr:colOff>297180</xdr:colOff>
          <xdr:row>42</xdr:row>
          <xdr:rowOff>38100</xdr:rowOff>
        </xdr:to>
        <xdr:sp macro="" textlink="">
          <xdr:nvSpPr>
            <xdr:cNvPr id="26637" name="Check Box 13" hidden="1">
              <a:extLst>
                <a:ext uri="{63B3BB69-23CF-44E3-9099-C40C66FF867C}">
                  <a14:compatExt spid="_x0000_s26637"/>
                </a:ext>
                <a:ext uri="{FF2B5EF4-FFF2-40B4-BE49-F238E27FC236}">
                  <a16:creationId xmlns:a16="http://schemas.microsoft.com/office/drawing/2014/main" id="{00000000-0008-0000-0900-00000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42</xdr:row>
          <xdr:rowOff>7620</xdr:rowOff>
        </xdr:from>
        <xdr:to>
          <xdr:col>4</xdr:col>
          <xdr:colOff>144780</xdr:colOff>
          <xdr:row>43</xdr:row>
          <xdr:rowOff>38100</xdr:rowOff>
        </xdr:to>
        <xdr:sp macro="" textlink="">
          <xdr:nvSpPr>
            <xdr:cNvPr id="26638" name="Check Box 14" hidden="1">
              <a:extLst>
                <a:ext uri="{63B3BB69-23CF-44E3-9099-C40C66FF867C}">
                  <a14:compatExt spid="_x0000_s26638"/>
                </a:ext>
                <a:ext uri="{FF2B5EF4-FFF2-40B4-BE49-F238E27FC236}">
                  <a16:creationId xmlns:a16="http://schemas.microsoft.com/office/drawing/2014/main" id="{00000000-0008-0000-0900-00000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43</xdr:row>
          <xdr:rowOff>7620</xdr:rowOff>
        </xdr:from>
        <xdr:to>
          <xdr:col>4</xdr:col>
          <xdr:colOff>457200</xdr:colOff>
          <xdr:row>44</xdr:row>
          <xdr:rowOff>38100</xdr:rowOff>
        </xdr:to>
        <xdr:sp macro="" textlink="">
          <xdr:nvSpPr>
            <xdr:cNvPr id="26639" name="Check Box 15" hidden="1">
              <a:extLst>
                <a:ext uri="{63B3BB69-23CF-44E3-9099-C40C66FF867C}">
                  <a14:compatExt spid="_x0000_s26639"/>
                </a:ext>
                <a:ext uri="{FF2B5EF4-FFF2-40B4-BE49-F238E27FC236}">
                  <a16:creationId xmlns:a16="http://schemas.microsoft.com/office/drawing/2014/main" id="{00000000-0008-0000-0900-00000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45</xdr:row>
          <xdr:rowOff>7620</xdr:rowOff>
        </xdr:from>
        <xdr:to>
          <xdr:col>8</xdr:col>
          <xdr:colOff>259080</xdr:colOff>
          <xdr:row>46</xdr:row>
          <xdr:rowOff>68580</xdr:rowOff>
        </xdr:to>
        <xdr:sp macro="" textlink="">
          <xdr:nvSpPr>
            <xdr:cNvPr id="26640" name="Check Box 16" descr="INVERSOR DE FREQUÊNCIA - CORRENTE DE PARTIDA COM O DISPOSITIVO: " hidden="1">
              <a:extLst>
                <a:ext uri="{63B3BB69-23CF-44E3-9099-C40C66FF867C}">
                  <a14:compatExt spid="_x0000_s26640"/>
                </a:ext>
                <a:ext uri="{FF2B5EF4-FFF2-40B4-BE49-F238E27FC236}">
                  <a16:creationId xmlns:a16="http://schemas.microsoft.com/office/drawing/2014/main" id="{00000000-0008-0000-0900-00001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44</xdr:row>
          <xdr:rowOff>7620</xdr:rowOff>
        </xdr:from>
        <xdr:to>
          <xdr:col>4</xdr:col>
          <xdr:colOff>373380</xdr:colOff>
          <xdr:row>45</xdr:row>
          <xdr:rowOff>38100</xdr:rowOff>
        </xdr:to>
        <xdr:sp macro="" textlink="">
          <xdr:nvSpPr>
            <xdr:cNvPr id="26641" name="Check Box 17" hidden="1">
              <a:extLst>
                <a:ext uri="{63B3BB69-23CF-44E3-9099-C40C66FF867C}">
                  <a14:compatExt spid="_x0000_s26641"/>
                </a:ext>
                <a:ext uri="{FF2B5EF4-FFF2-40B4-BE49-F238E27FC236}">
                  <a16:creationId xmlns:a16="http://schemas.microsoft.com/office/drawing/2014/main" id="{00000000-0008-0000-0900-00001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46</xdr:row>
          <xdr:rowOff>38100</xdr:rowOff>
        </xdr:from>
        <xdr:to>
          <xdr:col>3</xdr:col>
          <xdr:colOff>640080</xdr:colOff>
          <xdr:row>47</xdr:row>
          <xdr:rowOff>68580</xdr:rowOff>
        </xdr:to>
        <xdr:sp macro="" textlink="">
          <xdr:nvSpPr>
            <xdr:cNvPr id="26642" name="Check Box 18" hidden="1">
              <a:extLst>
                <a:ext uri="{63B3BB69-23CF-44E3-9099-C40C66FF867C}">
                  <a14:compatExt spid="_x0000_s26642"/>
                </a:ext>
                <a:ext uri="{FF2B5EF4-FFF2-40B4-BE49-F238E27FC236}">
                  <a16:creationId xmlns:a16="http://schemas.microsoft.com/office/drawing/2014/main" id="{00000000-0008-0000-0900-00001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</xdr:colOff>
          <xdr:row>29</xdr:row>
          <xdr:rowOff>182880</xdr:rowOff>
        </xdr:from>
        <xdr:to>
          <xdr:col>3</xdr:col>
          <xdr:colOff>68580</xdr:colOff>
          <xdr:row>31</xdr:row>
          <xdr:rowOff>68580</xdr:rowOff>
        </xdr:to>
        <xdr:sp macro="" textlink="">
          <xdr:nvSpPr>
            <xdr:cNvPr id="26651" name="Check Box 27" hidden="1">
              <a:extLst>
                <a:ext uri="{63B3BB69-23CF-44E3-9099-C40C66FF867C}">
                  <a14:compatExt spid="_x0000_s26651"/>
                </a:ext>
                <a:ext uri="{FF2B5EF4-FFF2-40B4-BE49-F238E27FC236}">
                  <a16:creationId xmlns:a16="http://schemas.microsoft.com/office/drawing/2014/main" id="{00000000-0008-0000-0900-00001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31</xdr:row>
          <xdr:rowOff>182880</xdr:rowOff>
        </xdr:from>
        <xdr:to>
          <xdr:col>3</xdr:col>
          <xdr:colOff>83820</xdr:colOff>
          <xdr:row>33</xdr:row>
          <xdr:rowOff>68580</xdr:rowOff>
        </xdr:to>
        <xdr:sp macro="" textlink="">
          <xdr:nvSpPr>
            <xdr:cNvPr id="26652" name="Check Box 28" hidden="1">
              <a:extLst>
                <a:ext uri="{63B3BB69-23CF-44E3-9099-C40C66FF867C}">
                  <a14:compatExt spid="_x0000_s26652"/>
                </a:ext>
                <a:ext uri="{FF2B5EF4-FFF2-40B4-BE49-F238E27FC236}">
                  <a16:creationId xmlns:a16="http://schemas.microsoft.com/office/drawing/2014/main" id="{00000000-0008-0000-0900-00001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33</xdr:row>
          <xdr:rowOff>175260</xdr:rowOff>
        </xdr:from>
        <xdr:to>
          <xdr:col>3</xdr:col>
          <xdr:colOff>99060</xdr:colOff>
          <xdr:row>35</xdr:row>
          <xdr:rowOff>60960</xdr:rowOff>
        </xdr:to>
        <xdr:sp macro="" textlink="">
          <xdr:nvSpPr>
            <xdr:cNvPr id="26653" name="Check Box 29" hidden="1">
              <a:extLst>
                <a:ext uri="{63B3BB69-23CF-44E3-9099-C40C66FF867C}">
                  <a14:compatExt spid="_x0000_s26653"/>
                </a:ext>
                <a:ext uri="{FF2B5EF4-FFF2-40B4-BE49-F238E27FC236}">
                  <a16:creationId xmlns:a16="http://schemas.microsoft.com/office/drawing/2014/main" id="{00000000-0008-0000-0900-00001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144608</xdr:colOff>
          <xdr:row>4</xdr:row>
          <xdr:rowOff>322959</xdr:rowOff>
        </xdr:from>
        <xdr:to>
          <xdr:col>8</xdr:col>
          <xdr:colOff>10888808</xdr:colOff>
          <xdr:row>4</xdr:row>
          <xdr:rowOff>5031799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E4B7A9F3-2C9B-4A67-8550-31636435615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ramais" spid="_x0000_s1227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40472" y="6089914"/>
              <a:ext cx="10744200" cy="470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</xdr:col>
      <xdr:colOff>66675</xdr:colOff>
      <xdr:row>4</xdr:row>
      <xdr:rowOff>619125</xdr:rowOff>
    </xdr:from>
    <xdr:to>
      <xdr:col>2</xdr:col>
      <xdr:colOff>11050533</xdr:colOff>
      <xdr:row>4</xdr:row>
      <xdr:rowOff>4563025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02C745-77BE-5602-644D-DBAFC3E1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1381125"/>
          <a:ext cx="10983858" cy="394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262166</xdr:colOff>
      <xdr:row>11</xdr:row>
      <xdr:rowOff>901336</xdr:rowOff>
    </xdr:from>
    <xdr:to>
      <xdr:col>2</xdr:col>
      <xdr:colOff>10806545</xdr:colOff>
      <xdr:row>11</xdr:row>
      <xdr:rowOff>4459191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289AC63-12B6-E6F5-3930-F459FB4E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4439" y="43036472"/>
          <a:ext cx="10544379" cy="3557855"/>
        </a:xfrm>
        <a:prstGeom prst="rect">
          <a:avLst/>
        </a:prstGeom>
      </xdr:spPr>
    </xdr:pic>
    <xdr:clientData/>
  </xdr:twoCellAnchor>
  <xdr:twoCellAnchor editAs="oneCell">
    <xdr:from>
      <xdr:col>2</xdr:col>
      <xdr:colOff>118171</xdr:colOff>
      <xdr:row>5</xdr:row>
      <xdr:rowOff>310580</xdr:rowOff>
    </xdr:from>
    <xdr:to>
      <xdr:col>2</xdr:col>
      <xdr:colOff>10931848</xdr:colOff>
      <xdr:row>5</xdr:row>
      <xdr:rowOff>4271403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E6EDC2B8-E087-7E22-050E-94C12E95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0444" y="11272989"/>
          <a:ext cx="10813677" cy="3960823"/>
        </a:xfrm>
        <a:prstGeom prst="rect">
          <a:avLst/>
        </a:prstGeom>
      </xdr:spPr>
    </xdr:pic>
    <xdr:clientData/>
  </xdr:twoCellAnchor>
  <xdr:twoCellAnchor editAs="oneCell">
    <xdr:from>
      <xdr:col>2</xdr:col>
      <xdr:colOff>228192</xdr:colOff>
      <xdr:row>6</xdr:row>
      <xdr:rowOff>385002</xdr:rowOff>
    </xdr:from>
    <xdr:to>
      <xdr:col>2</xdr:col>
      <xdr:colOff>11131516</xdr:colOff>
      <xdr:row>6</xdr:row>
      <xdr:rowOff>4449292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91AA64A-3321-198D-943A-DEBDE5CB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0465" y="16542866"/>
          <a:ext cx="10903324" cy="4064290"/>
        </a:xfrm>
        <a:prstGeom prst="rect">
          <a:avLst/>
        </a:prstGeom>
      </xdr:spPr>
    </xdr:pic>
    <xdr:clientData/>
  </xdr:twoCellAnchor>
  <xdr:twoCellAnchor editAs="oneCell">
    <xdr:from>
      <xdr:col>2</xdr:col>
      <xdr:colOff>232269</xdr:colOff>
      <xdr:row>12</xdr:row>
      <xdr:rowOff>852317</xdr:rowOff>
    </xdr:from>
    <xdr:to>
      <xdr:col>2</xdr:col>
      <xdr:colOff>11001122</xdr:colOff>
      <xdr:row>12</xdr:row>
      <xdr:rowOff>4610390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832850D8-CA74-58A2-33F4-56D89D94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4542" y="48165590"/>
          <a:ext cx="10768853" cy="3758073"/>
        </a:xfrm>
        <a:prstGeom prst="rect">
          <a:avLst/>
        </a:prstGeom>
      </xdr:spPr>
    </xdr:pic>
    <xdr:clientData/>
  </xdr:twoCellAnchor>
  <xdr:twoCellAnchor editAs="oneCell">
    <xdr:from>
      <xdr:col>2</xdr:col>
      <xdr:colOff>575574</xdr:colOff>
      <xdr:row>7</xdr:row>
      <xdr:rowOff>226155</xdr:rowOff>
    </xdr:from>
    <xdr:to>
      <xdr:col>2</xdr:col>
      <xdr:colOff>10494516</xdr:colOff>
      <xdr:row>7</xdr:row>
      <xdr:rowOff>4943832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3005686-39CB-0051-37A0-C8B871E1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7847" y="21579473"/>
          <a:ext cx="9918942" cy="4717677"/>
        </a:xfrm>
        <a:prstGeom prst="rect">
          <a:avLst/>
        </a:prstGeom>
      </xdr:spPr>
    </xdr:pic>
    <xdr:clientData/>
  </xdr:twoCellAnchor>
  <xdr:twoCellAnchor editAs="oneCell">
    <xdr:from>
      <xdr:col>2</xdr:col>
      <xdr:colOff>930088</xdr:colOff>
      <xdr:row>3</xdr:row>
      <xdr:rowOff>224118</xdr:rowOff>
    </xdr:from>
    <xdr:to>
      <xdr:col>2</xdr:col>
      <xdr:colOff>9589521</xdr:colOff>
      <xdr:row>3</xdr:row>
      <xdr:rowOff>4615756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DB5C053-1E9D-F8FA-D4DE-29AD9195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0323" y="795618"/>
          <a:ext cx="8659433" cy="4391638"/>
        </a:xfrm>
        <a:prstGeom prst="rect">
          <a:avLst/>
        </a:prstGeom>
      </xdr:spPr>
    </xdr:pic>
    <xdr:clientData/>
  </xdr:twoCellAnchor>
  <xdr:twoCellAnchor editAs="oneCell">
    <xdr:from>
      <xdr:col>2</xdr:col>
      <xdr:colOff>3851768</xdr:colOff>
      <xdr:row>9</xdr:row>
      <xdr:rowOff>627181</xdr:rowOff>
    </xdr:from>
    <xdr:to>
      <xdr:col>2</xdr:col>
      <xdr:colOff>6900106</xdr:colOff>
      <xdr:row>9</xdr:row>
      <xdr:rowOff>4947110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7AB0A32-4B6C-B382-D65F-8EB3314E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4041" y="32371408"/>
          <a:ext cx="3048338" cy="431992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3810000</xdr:colOff>
      <xdr:row>10</xdr:row>
      <xdr:rowOff>675409</xdr:rowOff>
    </xdr:from>
    <xdr:to>
      <xdr:col>2</xdr:col>
      <xdr:colOff>6690113</xdr:colOff>
      <xdr:row>10</xdr:row>
      <xdr:rowOff>4823460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8306DA-4681-7989-776D-0F60E89E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2273" y="37615091"/>
          <a:ext cx="2880113" cy="4148051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294409</xdr:colOff>
      <xdr:row>13</xdr:row>
      <xdr:rowOff>858715</xdr:rowOff>
    </xdr:from>
    <xdr:to>
      <xdr:col>2</xdr:col>
      <xdr:colOff>10841182</xdr:colOff>
      <xdr:row>13</xdr:row>
      <xdr:rowOff>4675911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804676E-D385-8363-99DB-D29A9A7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06682" y="53350124"/>
          <a:ext cx="10546773" cy="3817196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103908</xdr:colOff>
      <xdr:row>14</xdr:row>
      <xdr:rowOff>692726</xdr:rowOff>
    </xdr:from>
    <xdr:to>
      <xdr:col>2</xdr:col>
      <xdr:colOff>11236389</xdr:colOff>
      <xdr:row>14</xdr:row>
      <xdr:rowOff>4693227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8B84918-F56D-41DC-1EAA-EEF4CF5B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16181" y="58362271"/>
          <a:ext cx="11132481" cy="4000501"/>
        </a:xfrm>
        <a:prstGeom prst="rect">
          <a:avLst/>
        </a:prstGeom>
      </xdr:spPr>
    </xdr:pic>
    <xdr:clientData/>
  </xdr:twoCellAnchor>
  <xdr:twoCellAnchor editAs="oneCell">
    <xdr:from>
      <xdr:col>2</xdr:col>
      <xdr:colOff>3498273</xdr:colOff>
      <xdr:row>15</xdr:row>
      <xdr:rowOff>346363</xdr:rowOff>
    </xdr:from>
    <xdr:to>
      <xdr:col>2</xdr:col>
      <xdr:colOff>6816202</xdr:colOff>
      <xdr:row>15</xdr:row>
      <xdr:rowOff>4824960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57CA574-E132-B2AF-5579-5FF19C14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10546" y="63194045"/>
          <a:ext cx="3317929" cy="4478597"/>
        </a:xfrm>
        <a:prstGeom prst="rect">
          <a:avLst/>
        </a:prstGeom>
      </xdr:spPr>
    </xdr:pic>
    <xdr:clientData/>
  </xdr:twoCellAnchor>
  <xdr:twoCellAnchor editAs="oneCell">
    <xdr:from>
      <xdr:col>2</xdr:col>
      <xdr:colOff>484908</xdr:colOff>
      <xdr:row>8</xdr:row>
      <xdr:rowOff>34636</xdr:rowOff>
    </xdr:from>
    <xdr:to>
      <xdr:col>2</xdr:col>
      <xdr:colOff>10202033</xdr:colOff>
      <xdr:row>8</xdr:row>
      <xdr:rowOff>4970318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CBE53339-A7A9-847D-F70A-B017EF0DD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97181" y="26583409"/>
          <a:ext cx="9717125" cy="4935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cemig.com.br/wp-content/uploads/2025/01/formaliza_solic_desconto_irrigante_aquicultor_versao_D_portal_Cemig.docx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cemig.com.br/mini-e-microgeracao-distribuida/" TargetMode="External"/><Relationship Id="rId1" Type="http://schemas.openxmlformats.org/officeDocument/2006/relationships/hyperlink" Target="https://www.cemig.com.br/atendimento/ligacao-nova-e-aumento-de-carg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cemig.com.br/wp-content/uploads/2020/10/Termo-de-Opcao-pelo-Faturamento-Monomio.doc" TargetMode="External"/><Relationship Id="rId4" Type="http://schemas.openxmlformats.org/officeDocument/2006/relationships/hyperlink" Target="https://www.cemig.com.br/wp-content/uploads/2021/06/Formulario_Partida_Motores.xls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BQ201"/>
  <sheetViews>
    <sheetView showGridLines="0" tabSelected="1" zoomScale="85" zoomScaleNormal="85" zoomScaleSheetLayoutView="70" workbookViewId="0">
      <pane ySplit="8" topLeftCell="A9" activePane="bottomLeft" state="frozen"/>
      <selection pane="bottomLeft" activeCell="O34" sqref="O34:W34"/>
    </sheetView>
  </sheetViews>
  <sheetFormatPr defaultColWidth="0" defaultRowHeight="15" customHeight="1" zeroHeight="1" x14ac:dyDescent="0.3"/>
  <cols>
    <col min="1" max="24" width="2.6640625" customWidth="1"/>
    <col min="25" max="25" width="1.6640625" customWidth="1"/>
    <col min="26" max="29" width="2.6640625" customWidth="1"/>
    <col min="30" max="30" width="3.109375" customWidth="1"/>
    <col min="31" max="53" width="2.6640625" customWidth="1"/>
    <col min="54" max="54" width="3.88671875" customWidth="1"/>
    <col min="55" max="62" width="2.6640625" customWidth="1"/>
    <col min="63" max="63" width="17" customWidth="1"/>
    <col min="64" max="64" width="2.88671875" customWidth="1"/>
    <col min="65" max="69" width="0" hidden="1" customWidth="1"/>
    <col min="70" max="16384" width="2.6640625" hidden="1"/>
  </cols>
  <sheetData>
    <row r="1" spans="2:63" ht="19.5" customHeight="1" thickBo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2:63" ht="22.5" customHeight="1" x14ac:dyDescent="0.35">
      <c r="C2" s="323"/>
      <c r="D2" s="324"/>
      <c r="E2" s="324"/>
      <c r="F2" s="324"/>
      <c r="G2" s="324"/>
      <c r="H2" s="324"/>
      <c r="I2" s="324"/>
      <c r="J2" s="558" t="s">
        <v>0</v>
      </c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325"/>
    </row>
    <row r="3" spans="2:63" ht="14.25" customHeight="1" x14ac:dyDescent="0.35">
      <c r="C3" s="326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36"/>
      <c r="S3" s="327" t="s">
        <v>1</v>
      </c>
      <c r="T3" s="327"/>
      <c r="U3" s="327"/>
      <c r="V3" s="327"/>
      <c r="W3" s="327"/>
      <c r="X3" s="328"/>
      <c r="Y3" s="328"/>
      <c r="Z3" s="328"/>
      <c r="AA3" s="329" t="s">
        <v>2</v>
      </c>
      <c r="AB3" s="328"/>
      <c r="AC3" s="328" t="s">
        <v>3</v>
      </c>
      <c r="AD3" s="328"/>
      <c r="AE3" s="328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6"/>
      <c r="AQ3" s="330" t="s">
        <v>1240</v>
      </c>
      <c r="AR3" s="36"/>
      <c r="AS3" s="36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1"/>
    </row>
    <row r="4" spans="2:63" ht="8.25" customHeight="1" x14ac:dyDescent="0.35">
      <c r="B4" s="1"/>
      <c r="C4" s="332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36"/>
      <c r="S4" s="333"/>
      <c r="T4" s="333"/>
      <c r="U4" s="333"/>
      <c r="V4" s="333"/>
      <c r="W4" s="333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1"/>
      <c r="BK4" s="1"/>
    </row>
    <row r="5" spans="2:63" ht="10.5" customHeight="1" thickBot="1" x14ac:dyDescent="0.35">
      <c r="B5" s="1"/>
      <c r="C5" s="335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202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8"/>
      <c r="BK5" s="1"/>
    </row>
    <row r="6" spans="2:63" ht="6" customHeight="1" x14ac:dyDescent="0.3"/>
    <row r="7" spans="2:63" ht="21.6" customHeight="1" x14ac:dyDescent="0.3">
      <c r="B7" s="1"/>
      <c r="C7" s="604" t="str">
        <f>IF(AND('Valid. CPF'!E136,'Valid. CPF'!E145),"Tudo pronto! Por favor, salve e envie o formulário como anexo de planilha eletrônica.",'Valid. CPF'!C139)</f>
        <v>Opa! Parece que falta preencher o campo Opção de Atendimento*</v>
      </c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604"/>
      <c r="AJ7" s="604"/>
      <c r="AK7" s="604"/>
      <c r="AL7" s="604"/>
      <c r="AM7" s="604"/>
      <c r="AN7" s="604"/>
      <c r="AO7" s="604"/>
      <c r="AP7" s="604"/>
      <c r="AQ7" s="604"/>
      <c r="AR7" s="604"/>
      <c r="AS7" s="604"/>
      <c r="AT7" s="604"/>
      <c r="AU7" s="604"/>
      <c r="AV7" s="604"/>
      <c r="AW7" s="604"/>
      <c r="AX7" s="604"/>
      <c r="AY7" s="604"/>
      <c r="AZ7" s="604"/>
      <c r="BA7" s="604"/>
      <c r="BB7" s="604"/>
      <c r="BC7" s="604"/>
      <c r="BD7" s="604"/>
      <c r="BE7" s="604"/>
      <c r="BF7" s="604"/>
      <c r="BG7" s="604"/>
      <c r="BH7" s="604"/>
      <c r="BI7" s="604"/>
      <c r="BJ7" s="604"/>
      <c r="BK7" s="1"/>
    </row>
    <row r="8" spans="2:63" ht="20.25" hidden="1" customHeight="1" x14ac:dyDescent="0.3"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B8" s="580"/>
      <c r="BC8" s="580"/>
      <c r="BD8" s="580"/>
      <c r="BE8" s="580"/>
      <c r="BF8" s="580"/>
      <c r="BG8" s="580"/>
      <c r="BH8" s="580"/>
      <c r="BI8" s="580"/>
      <c r="BJ8" s="580"/>
    </row>
    <row r="9" spans="2:63" ht="3.6" customHeight="1" x14ac:dyDescent="0.3"/>
    <row r="10" spans="2:63" ht="5.0999999999999996" customHeight="1" x14ac:dyDescent="0.3"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</row>
    <row r="11" spans="2:63" ht="15" customHeight="1" x14ac:dyDescent="0.3">
      <c r="C11" s="1" t="s">
        <v>4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63" ht="4.5" customHeight="1" x14ac:dyDescent="0.3"/>
    <row r="13" spans="2:63" ht="19.5" customHeight="1" x14ac:dyDescent="0.3">
      <c r="C13" s="581" t="s">
        <v>5</v>
      </c>
      <c r="D13" s="582"/>
      <c r="E13" s="582"/>
      <c r="F13" s="582"/>
      <c r="G13" s="582"/>
      <c r="H13" s="582"/>
      <c r="I13" s="582"/>
      <c r="J13" s="582"/>
      <c r="K13" s="582"/>
      <c r="L13" s="582"/>
      <c r="M13" s="582"/>
      <c r="N13" s="582"/>
      <c r="O13" s="582"/>
      <c r="P13" s="582"/>
      <c r="Q13" s="582"/>
      <c r="R13" s="582"/>
      <c r="S13" s="582"/>
      <c r="T13" s="582"/>
      <c r="U13" s="582"/>
      <c r="V13" s="582"/>
      <c r="W13" s="582"/>
      <c r="X13" s="582"/>
      <c r="Y13" s="582"/>
      <c r="Z13" s="582"/>
      <c r="AA13" s="582"/>
      <c r="AB13" s="582"/>
      <c r="AC13" s="582"/>
      <c r="AD13" s="582"/>
      <c r="AE13" s="582"/>
      <c r="AF13" s="582"/>
      <c r="AG13" s="582"/>
      <c r="AH13" s="582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2"/>
      <c r="AW13" s="582"/>
      <c r="AX13" s="582"/>
      <c r="AY13" s="582"/>
      <c r="AZ13" s="582"/>
      <c r="BA13" s="582"/>
      <c r="BB13" s="582"/>
      <c r="BC13" s="582"/>
      <c r="BD13" s="582"/>
      <c r="BE13" s="582"/>
      <c r="BF13" s="582"/>
      <c r="BG13" s="582"/>
      <c r="BH13" s="582"/>
      <c r="BI13" s="582"/>
      <c r="BJ13" s="583"/>
    </row>
    <row r="14" spans="2:63" ht="4.5" customHeight="1" x14ac:dyDescent="0.3"/>
    <row r="15" spans="2:63" ht="21" customHeight="1" x14ac:dyDescent="0.3">
      <c r="C15" s="584" t="s">
        <v>6</v>
      </c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585"/>
      <c r="W15" s="585"/>
      <c r="X15" s="585"/>
      <c r="Y15" s="585"/>
      <c r="Z15" s="585"/>
      <c r="AA15" s="585"/>
      <c r="AB15" s="585"/>
      <c r="AC15" s="585"/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5"/>
      <c r="AP15" s="585"/>
      <c r="AQ15" s="585"/>
      <c r="AR15" s="585"/>
      <c r="AS15" s="585"/>
      <c r="AT15" s="585"/>
      <c r="AU15" s="585"/>
      <c r="AV15" s="585"/>
      <c r="AW15" s="585"/>
      <c r="AX15" s="585"/>
      <c r="AY15" s="585"/>
      <c r="AZ15" s="585"/>
      <c r="BA15" s="585"/>
      <c r="BB15" s="585"/>
      <c r="BC15" s="585"/>
      <c r="BD15" s="585"/>
      <c r="BE15" s="585"/>
      <c r="BF15" s="585"/>
      <c r="BG15" s="585"/>
      <c r="BH15" s="585"/>
      <c r="BI15" s="585"/>
      <c r="BJ15" s="586"/>
      <c r="BK15" s="96"/>
    </row>
    <row r="16" spans="2:63" ht="66.75" customHeight="1" x14ac:dyDescent="0.3">
      <c r="C16" s="587" t="s">
        <v>7</v>
      </c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8"/>
      <c r="V16" s="588"/>
      <c r="W16" s="588"/>
      <c r="X16" s="588"/>
      <c r="Y16" s="588"/>
      <c r="Z16" s="588"/>
      <c r="AA16" s="588"/>
      <c r="AB16" s="588"/>
      <c r="AC16" s="588"/>
      <c r="AD16" s="588"/>
      <c r="AE16" s="588"/>
      <c r="AF16" s="588"/>
      <c r="AG16" s="588"/>
      <c r="AH16" s="588"/>
      <c r="AI16" s="588"/>
      <c r="AJ16" s="588"/>
      <c r="AK16" s="588"/>
      <c r="AL16" s="588"/>
      <c r="AM16" s="588"/>
      <c r="AN16" s="588"/>
      <c r="AO16" s="588"/>
      <c r="AP16" s="588"/>
      <c r="AQ16" s="588"/>
      <c r="AR16" s="588"/>
      <c r="AS16" s="588"/>
      <c r="AT16" s="588"/>
      <c r="AU16" s="588"/>
      <c r="AV16" s="588"/>
      <c r="AW16" s="588"/>
      <c r="AX16" s="588"/>
      <c r="AY16" s="588"/>
      <c r="AZ16" s="588"/>
      <c r="BA16" s="588"/>
      <c r="BB16" s="588"/>
      <c r="BC16" s="588"/>
      <c r="BD16" s="588"/>
      <c r="BE16" s="588"/>
      <c r="BF16" s="588"/>
      <c r="BG16" s="588"/>
      <c r="BH16" s="588"/>
      <c r="BI16" s="588"/>
      <c r="BJ16" s="589"/>
      <c r="BK16" s="97"/>
    </row>
    <row r="17" spans="2:69" ht="50.25" customHeight="1" x14ac:dyDescent="0.3">
      <c r="C17" s="577" t="s">
        <v>8</v>
      </c>
      <c r="D17" s="578"/>
      <c r="E17" s="578"/>
      <c r="F17" s="578"/>
      <c r="G17" s="578"/>
      <c r="H17" s="578"/>
      <c r="I17" s="578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578"/>
      <c r="AL17" s="578"/>
      <c r="AM17" s="578"/>
      <c r="AN17" s="578"/>
      <c r="AO17" s="578"/>
      <c r="AP17" s="578"/>
      <c r="AQ17" s="578"/>
      <c r="AR17" s="578"/>
      <c r="AS17" s="578"/>
      <c r="AT17" s="578"/>
      <c r="AU17" s="578"/>
      <c r="AV17" s="578"/>
      <c r="AW17" s="578"/>
      <c r="AX17" s="578"/>
      <c r="AY17" s="578"/>
      <c r="AZ17" s="578"/>
      <c r="BA17" s="578"/>
      <c r="BB17" s="578"/>
      <c r="BC17" s="578"/>
      <c r="BD17" s="578"/>
      <c r="BE17" s="578"/>
      <c r="BF17" s="578"/>
      <c r="BG17" s="578"/>
      <c r="BH17" s="578"/>
      <c r="BI17" s="578"/>
      <c r="BJ17" s="579"/>
      <c r="BK17" s="610"/>
      <c r="BL17" s="610"/>
      <c r="BM17" s="610"/>
      <c r="BN17" s="610"/>
      <c r="BO17" s="610"/>
      <c r="BP17" s="610"/>
      <c r="BQ17" s="610"/>
    </row>
    <row r="18" spans="2:69" ht="21" customHeight="1" x14ac:dyDescent="0.3">
      <c r="C18" s="611" t="s">
        <v>9</v>
      </c>
      <c r="D18" s="578"/>
      <c r="E18" s="578"/>
      <c r="F18" s="578"/>
      <c r="G18" s="578"/>
      <c r="H18" s="578"/>
      <c r="I18" s="578"/>
      <c r="J18" s="578"/>
      <c r="K18" s="578"/>
      <c r="L18" s="578"/>
      <c r="M18" s="578"/>
      <c r="N18" s="578"/>
      <c r="O18" s="578"/>
      <c r="P18" s="578"/>
      <c r="Q18" s="578"/>
      <c r="R18" s="578"/>
      <c r="S18" s="578"/>
      <c r="T18" s="578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8"/>
      <c r="AI18" s="578"/>
      <c r="AJ18" s="578"/>
      <c r="AK18" s="578"/>
      <c r="AL18" s="578"/>
      <c r="AM18" s="578"/>
      <c r="AN18" s="578"/>
      <c r="AO18" s="578"/>
      <c r="AP18" s="578"/>
      <c r="AQ18" s="578"/>
      <c r="AR18" s="578"/>
      <c r="AS18" s="578"/>
      <c r="AT18" s="578"/>
      <c r="AU18" s="578"/>
      <c r="AV18" s="578"/>
      <c r="AW18" s="578"/>
      <c r="AX18" s="578"/>
      <c r="AY18" s="578"/>
      <c r="AZ18" s="578"/>
      <c r="BA18" s="578"/>
      <c r="BB18" s="578"/>
      <c r="BC18" s="578"/>
      <c r="BD18" s="578"/>
      <c r="BE18" s="578"/>
      <c r="BF18" s="578"/>
      <c r="BG18" s="578"/>
      <c r="BH18" s="578"/>
      <c r="BI18" s="578"/>
      <c r="BJ18" s="579"/>
      <c r="BK18" s="610"/>
      <c r="BL18" s="610"/>
      <c r="BM18" s="610"/>
      <c r="BN18" s="610"/>
      <c r="BO18" s="610"/>
      <c r="BP18" s="610"/>
      <c r="BQ18" s="610"/>
    </row>
    <row r="19" spans="2:69" ht="48.75" customHeight="1" x14ac:dyDescent="0.3">
      <c r="C19" s="577" t="s">
        <v>10</v>
      </c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  <c r="T19" s="578"/>
      <c r="U19" s="578"/>
      <c r="V19" s="578"/>
      <c r="W19" s="578"/>
      <c r="X19" s="578"/>
      <c r="Y19" s="578"/>
      <c r="Z19" s="578"/>
      <c r="AA19" s="578"/>
      <c r="AB19" s="578"/>
      <c r="AC19" s="578"/>
      <c r="AD19" s="578"/>
      <c r="AE19" s="578"/>
      <c r="AF19" s="578"/>
      <c r="AG19" s="578"/>
      <c r="AH19" s="578"/>
      <c r="AI19" s="578"/>
      <c r="AJ19" s="578"/>
      <c r="AK19" s="578"/>
      <c r="AL19" s="578"/>
      <c r="AM19" s="578"/>
      <c r="AN19" s="578"/>
      <c r="AO19" s="578"/>
      <c r="AP19" s="578"/>
      <c r="AQ19" s="578"/>
      <c r="AR19" s="578"/>
      <c r="AS19" s="578"/>
      <c r="AT19" s="578"/>
      <c r="AU19" s="578"/>
      <c r="AV19" s="578"/>
      <c r="AW19" s="578"/>
      <c r="AX19" s="578"/>
      <c r="AY19" s="578"/>
      <c r="AZ19" s="578"/>
      <c r="BA19" s="578"/>
      <c r="BB19" s="578"/>
      <c r="BC19" s="578"/>
      <c r="BD19" s="578"/>
      <c r="BE19" s="578"/>
      <c r="BF19" s="578"/>
      <c r="BG19" s="578"/>
      <c r="BH19" s="578"/>
      <c r="BI19" s="578"/>
      <c r="BJ19" s="579"/>
      <c r="BK19" s="610"/>
      <c r="BL19" s="610"/>
      <c r="BM19" s="610"/>
      <c r="BN19" s="610"/>
      <c r="BO19" s="610"/>
      <c r="BP19" s="610"/>
      <c r="BQ19" s="610"/>
    </row>
    <row r="20" spans="2:69" ht="30" customHeight="1" x14ac:dyDescent="0.3">
      <c r="C20" s="577" t="s">
        <v>11</v>
      </c>
      <c r="D20" s="578"/>
      <c r="E20" s="578"/>
      <c r="F20" s="578"/>
      <c r="G20" s="578"/>
      <c r="H20" s="578"/>
      <c r="I20" s="578"/>
      <c r="J20" s="578"/>
      <c r="K20" s="578"/>
      <c r="L20" s="578"/>
      <c r="M20" s="578"/>
      <c r="N20" s="578"/>
      <c r="O20" s="578"/>
      <c r="P20" s="578"/>
      <c r="Q20" s="578"/>
      <c r="R20" s="578"/>
      <c r="S20" s="578"/>
      <c r="T20" s="578"/>
      <c r="U20" s="578"/>
      <c r="V20" s="578"/>
      <c r="W20" s="578"/>
      <c r="X20" s="578"/>
      <c r="Y20" s="578"/>
      <c r="Z20" s="578"/>
      <c r="AA20" s="578"/>
      <c r="AB20" s="578"/>
      <c r="AC20" s="578"/>
      <c r="AD20" s="578"/>
      <c r="AE20" s="578"/>
      <c r="AF20" s="578"/>
      <c r="AG20" s="578"/>
      <c r="AH20" s="578"/>
      <c r="AI20" s="578"/>
      <c r="AJ20" s="578"/>
      <c r="AK20" s="578"/>
      <c r="AL20" s="578"/>
      <c r="AM20" s="578"/>
      <c r="AN20" s="578"/>
      <c r="AO20" s="578"/>
      <c r="AP20" s="578"/>
      <c r="AQ20" s="578"/>
      <c r="AR20" s="578"/>
      <c r="AS20" s="578"/>
      <c r="AT20" s="578"/>
      <c r="AU20" s="578"/>
      <c r="AV20" s="578"/>
      <c r="AW20" s="578"/>
      <c r="AX20" s="578"/>
      <c r="AY20" s="578"/>
      <c r="AZ20" s="578"/>
      <c r="BA20" s="578"/>
      <c r="BB20" s="578"/>
      <c r="BC20" s="578"/>
      <c r="BD20" s="578"/>
      <c r="BE20" s="578"/>
      <c r="BF20" s="578"/>
      <c r="BG20" s="578"/>
      <c r="BH20" s="578"/>
      <c r="BI20" s="578"/>
      <c r="BJ20" s="579"/>
      <c r="BK20" s="610"/>
      <c r="BL20" s="610"/>
      <c r="BM20" s="610"/>
      <c r="BN20" s="610"/>
      <c r="BO20" s="610"/>
      <c r="BP20" s="610"/>
      <c r="BQ20" s="610"/>
    </row>
    <row r="21" spans="2:69" ht="69" customHeight="1" x14ac:dyDescent="0.3">
      <c r="C21" s="577" t="s">
        <v>12</v>
      </c>
      <c r="D21" s="578"/>
      <c r="E21" s="578"/>
      <c r="F21" s="578"/>
      <c r="G21" s="578"/>
      <c r="H21" s="578"/>
      <c r="I21" s="578"/>
      <c r="J21" s="578"/>
      <c r="K21" s="578"/>
      <c r="L21" s="578"/>
      <c r="M21" s="578"/>
      <c r="N21" s="578"/>
      <c r="O21" s="578"/>
      <c r="P21" s="578"/>
      <c r="Q21" s="578"/>
      <c r="R21" s="578"/>
      <c r="S21" s="578"/>
      <c r="T21" s="578"/>
      <c r="U21" s="578"/>
      <c r="V21" s="578"/>
      <c r="W21" s="578"/>
      <c r="X21" s="578"/>
      <c r="Y21" s="578"/>
      <c r="Z21" s="578"/>
      <c r="AA21" s="578"/>
      <c r="AB21" s="578"/>
      <c r="AC21" s="578"/>
      <c r="AD21" s="578"/>
      <c r="AE21" s="578"/>
      <c r="AF21" s="578"/>
      <c r="AG21" s="578"/>
      <c r="AH21" s="578"/>
      <c r="AI21" s="578"/>
      <c r="AJ21" s="578"/>
      <c r="AK21" s="578"/>
      <c r="AL21" s="578"/>
      <c r="AM21" s="578"/>
      <c r="AN21" s="578"/>
      <c r="AO21" s="578"/>
      <c r="AP21" s="578"/>
      <c r="AQ21" s="578"/>
      <c r="AR21" s="578"/>
      <c r="AS21" s="578"/>
      <c r="AT21" s="578"/>
      <c r="AU21" s="578"/>
      <c r="AV21" s="578"/>
      <c r="AW21" s="578"/>
      <c r="AX21" s="578"/>
      <c r="AY21" s="578"/>
      <c r="AZ21" s="578"/>
      <c r="BA21" s="578"/>
      <c r="BB21" s="578"/>
      <c r="BC21" s="578"/>
      <c r="BD21" s="578"/>
      <c r="BE21" s="578"/>
      <c r="BF21" s="578"/>
      <c r="BG21" s="578"/>
      <c r="BH21" s="578"/>
      <c r="BI21" s="578"/>
      <c r="BJ21" s="579"/>
      <c r="BK21" s="610"/>
      <c r="BL21" s="610"/>
      <c r="BM21" s="610"/>
      <c r="BN21" s="610"/>
      <c r="BO21" s="610"/>
      <c r="BP21" s="610"/>
      <c r="BQ21" s="610"/>
    </row>
    <row r="22" spans="2:69" ht="18.75" customHeight="1" x14ac:dyDescent="0.3">
      <c r="C22" s="392" t="s">
        <v>13</v>
      </c>
      <c r="D22" s="578"/>
      <c r="E22" s="578"/>
      <c r="F22" s="578"/>
      <c r="G22" s="578"/>
      <c r="H22" s="578"/>
      <c r="I22" s="578"/>
      <c r="J22" s="578"/>
      <c r="K22" s="578"/>
      <c r="L22" s="578"/>
      <c r="M22" s="578"/>
      <c r="N22" s="578"/>
      <c r="O22" s="578"/>
      <c r="P22" s="578"/>
      <c r="Q22" s="578"/>
      <c r="R22" s="578"/>
      <c r="S22" s="578"/>
      <c r="T22" s="578"/>
      <c r="U22" s="578"/>
      <c r="V22" s="578"/>
      <c r="W22" s="578"/>
      <c r="X22" s="578"/>
      <c r="Y22" s="578"/>
      <c r="Z22" s="578"/>
      <c r="AA22" s="578"/>
      <c r="AB22" s="578"/>
      <c r="AC22" s="578"/>
      <c r="AD22" s="578"/>
      <c r="AE22" s="578"/>
      <c r="AF22" s="578"/>
      <c r="AG22" s="578"/>
      <c r="AH22" s="578"/>
      <c r="AI22" s="578"/>
      <c r="AJ22" s="578"/>
      <c r="AK22" s="578"/>
      <c r="AL22" s="578"/>
      <c r="AM22" s="578"/>
      <c r="AN22" s="578"/>
      <c r="AO22" s="578"/>
      <c r="AP22" s="578"/>
      <c r="AQ22" s="578"/>
      <c r="AR22" s="578"/>
      <c r="AS22" s="578"/>
      <c r="AT22" s="578"/>
      <c r="AU22" s="578"/>
      <c r="AV22" s="578"/>
      <c r="AW22" s="578"/>
      <c r="AX22" s="578"/>
      <c r="AY22" s="578"/>
      <c r="AZ22" s="578"/>
      <c r="BA22" s="578"/>
      <c r="BB22" s="578"/>
      <c r="BC22" s="578"/>
      <c r="BD22" s="578"/>
      <c r="BE22" s="578"/>
      <c r="BF22" s="578"/>
      <c r="BG22" s="578"/>
      <c r="BH22" s="578"/>
      <c r="BI22" s="578"/>
      <c r="BJ22" s="579"/>
      <c r="BK22" s="214"/>
      <c r="BL22" s="214"/>
      <c r="BM22" s="214"/>
      <c r="BN22" s="214"/>
      <c r="BO22" s="214"/>
      <c r="BP22" s="214"/>
      <c r="BQ22" s="214"/>
    </row>
    <row r="23" spans="2:69" ht="66" customHeight="1" x14ac:dyDescent="0.3">
      <c r="C23" s="577" t="s">
        <v>14</v>
      </c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  <c r="BE23" s="578"/>
      <c r="BF23" s="578"/>
      <c r="BG23" s="578"/>
      <c r="BH23" s="578"/>
      <c r="BI23" s="578"/>
      <c r="BJ23" s="579"/>
      <c r="BK23" s="610"/>
      <c r="BL23" s="610"/>
      <c r="BM23" s="610"/>
      <c r="BN23" s="610"/>
      <c r="BO23" s="610"/>
      <c r="BP23" s="610"/>
      <c r="BQ23" s="610"/>
    </row>
    <row r="24" spans="2:69" ht="15" customHeight="1" x14ac:dyDescent="0.3">
      <c r="C24" s="577" t="s">
        <v>15</v>
      </c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  <c r="AF24" s="578"/>
      <c r="AG24" s="578"/>
      <c r="AH24" s="578"/>
      <c r="AI24" s="578"/>
      <c r="AJ24" s="578"/>
      <c r="AK24" s="578"/>
      <c r="AL24" s="578"/>
      <c r="AM24" s="578"/>
      <c r="AN24" s="578"/>
      <c r="AO24" s="578"/>
      <c r="AP24" s="578"/>
      <c r="AQ24" s="578"/>
      <c r="AR24" s="578"/>
      <c r="AS24" s="578"/>
      <c r="AT24" s="578"/>
      <c r="AU24" s="578"/>
      <c r="AV24" s="578"/>
      <c r="AW24" s="578"/>
      <c r="AX24" s="578"/>
      <c r="AY24" s="578"/>
      <c r="AZ24" s="578"/>
      <c r="BA24" s="578"/>
      <c r="BB24" s="578"/>
      <c r="BC24" s="578"/>
      <c r="BD24" s="578"/>
      <c r="BE24" s="578"/>
      <c r="BF24" s="578"/>
      <c r="BG24" s="578"/>
      <c r="BH24" s="578"/>
      <c r="BI24" s="578"/>
      <c r="BJ24" s="579"/>
      <c r="BK24" s="214"/>
      <c r="BL24" s="214"/>
      <c r="BM24" s="214"/>
      <c r="BN24" s="214"/>
      <c r="BO24" s="214"/>
      <c r="BP24" s="214"/>
      <c r="BQ24" s="214"/>
    </row>
    <row r="25" spans="2:69" ht="15.75" customHeight="1" x14ac:dyDescent="0.3">
      <c r="C25" s="611" t="s">
        <v>16</v>
      </c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  <c r="AF25" s="578"/>
      <c r="AG25" s="578"/>
      <c r="AH25" s="578"/>
      <c r="AI25" s="578"/>
      <c r="AJ25" s="578"/>
      <c r="AK25" s="578"/>
      <c r="AL25" s="578"/>
      <c r="AM25" s="578"/>
      <c r="AN25" s="578"/>
      <c r="AO25" s="578"/>
      <c r="AP25" s="578"/>
      <c r="AQ25" s="578"/>
      <c r="AR25" s="578"/>
      <c r="AS25" s="578"/>
      <c r="AT25" s="578"/>
      <c r="AU25" s="578"/>
      <c r="AV25" s="578"/>
      <c r="AW25" s="578"/>
      <c r="AX25" s="578"/>
      <c r="AY25" s="578"/>
      <c r="AZ25" s="578"/>
      <c r="BA25" s="578"/>
      <c r="BB25" s="578"/>
      <c r="BC25" s="578"/>
      <c r="BD25" s="578"/>
      <c r="BE25" s="578"/>
      <c r="BF25" s="578"/>
      <c r="BG25" s="578"/>
      <c r="BH25" s="578"/>
      <c r="BI25" s="578"/>
      <c r="BJ25" s="579"/>
      <c r="BK25" s="214"/>
      <c r="BL25" s="214"/>
      <c r="BM25" s="214"/>
      <c r="BN25" s="214"/>
      <c r="BO25" s="214"/>
      <c r="BP25" s="214"/>
      <c r="BQ25" s="214"/>
    </row>
    <row r="26" spans="2:69" ht="48" customHeight="1" x14ac:dyDescent="0.3">
      <c r="C26" s="612" t="s">
        <v>17</v>
      </c>
      <c r="D26" s="613"/>
      <c r="E26" s="613"/>
      <c r="F26" s="613"/>
      <c r="G26" s="613"/>
      <c r="H26" s="613"/>
      <c r="I26" s="613"/>
      <c r="J26" s="613"/>
      <c r="K26" s="613"/>
      <c r="L26" s="613"/>
      <c r="M26" s="613"/>
      <c r="N26" s="613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  <c r="AQ26" s="613"/>
      <c r="AR26" s="613"/>
      <c r="AS26" s="613"/>
      <c r="AT26" s="613"/>
      <c r="AU26" s="613"/>
      <c r="AV26" s="613"/>
      <c r="AW26" s="613"/>
      <c r="AX26" s="613"/>
      <c r="AY26" s="613"/>
      <c r="AZ26" s="613"/>
      <c r="BA26" s="613"/>
      <c r="BB26" s="613"/>
      <c r="BC26" s="613"/>
      <c r="BD26" s="613"/>
      <c r="BE26" s="613"/>
      <c r="BF26" s="613"/>
      <c r="BG26" s="613"/>
      <c r="BH26" s="613"/>
      <c r="BI26" s="613"/>
      <c r="BJ26" s="614"/>
      <c r="BK26" s="610"/>
      <c r="BL26" s="610"/>
      <c r="BM26" s="610"/>
      <c r="BN26" s="610"/>
      <c r="BO26" s="610"/>
      <c r="BP26" s="610"/>
      <c r="BQ26" s="610"/>
    </row>
    <row r="27" spans="2:69" ht="17.25" customHeight="1" x14ac:dyDescent="0.3">
      <c r="C27" s="611" t="s">
        <v>18</v>
      </c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18"/>
      <c r="AC27" s="618"/>
      <c r="AD27" s="618"/>
      <c r="AE27" s="618"/>
      <c r="AF27" s="618"/>
      <c r="AG27" s="618"/>
      <c r="AH27" s="618"/>
      <c r="AI27" s="618"/>
      <c r="AJ27" s="618"/>
      <c r="AK27" s="618"/>
      <c r="AL27" s="618"/>
      <c r="AM27" s="618"/>
      <c r="AN27" s="618"/>
      <c r="AO27" s="618"/>
      <c r="AP27" s="618"/>
      <c r="AQ27" s="618"/>
      <c r="AR27" s="618"/>
      <c r="AS27" s="618"/>
      <c r="AT27" s="618"/>
      <c r="AU27" s="618"/>
      <c r="AV27" s="618"/>
      <c r="AW27" s="618"/>
      <c r="AX27" s="618"/>
      <c r="AY27" s="618"/>
      <c r="AZ27" s="618"/>
      <c r="BA27" s="618"/>
      <c r="BB27" s="618"/>
      <c r="BC27" s="618"/>
      <c r="BD27" s="618"/>
      <c r="BE27" s="618"/>
      <c r="BF27" s="618"/>
      <c r="BG27" s="618"/>
      <c r="BH27" s="618"/>
      <c r="BI27" s="618"/>
      <c r="BJ27" s="619"/>
      <c r="BK27" s="214"/>
      <c r="BL27" s="214"/>
      <c r="BM27" s="214"/>
      <c r="BN27" s="214"/>
      <c r="BO27" s="214"/>
      <c r="BP27" s="214"/>
      <c r="BQ27" s="214"/>
    </row>
    <row r="28" spans="2:69" ht="18" customHeight="1" x14ac:dyDescent="0.3">
      <c r="C28" s="389" t="s">
        <v>19</v>
      </c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  <c r="BJ28" s="391"/>
      <c r="BK28" s="214"/>
      <c r="BL28" s="214"/>
      <c r="BM28" s="214"/>
      <c r="BN28" s="214"/>
      <c r="BO28" s="214"/>
      <c r="BP28" s="214"/>
      <c r="BQ28" s="214"/>
    </row>
    <row r="29" spans="2:69" ht="17.25" customHeight="1" x14ac:dyDescent="0.3">
      <c r="C29" s="392" t="s">
        <v>20</v>
      </c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4"/>
      <c r="BK29" s="214"/>
      <c r="BL29" s="214"/>
      <c r="BM29" s="214"/>
      <c r="BN29" s="214"/>
      <c r="BO29" s="214"/>
      <c r="BP29" s="214"/>
      <c r="BQ29" s="214"/>
    </row>
    <row r="30" spans="2:69" ht="33.75" customHeight="1" x14ac:dyDescent="0.3">
      <c r="C30" s="615" t="s">
        <v>21</v>
      </c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616"/>
      <c r="Y30" s="616"/>
      <c r="Z30" s="616"/>
      <c r="AA30" s="616"/>
      <c r="AB30" s="616"/>
      <c r="AC30" s="616"/>
      <c r="AD30" s="616"/>
      <c r="AE30" s="616"/>
      <c r="AF30" s="616"/>
      <c r="AG30" s="616"/>
      <c r="AH30" s="616"/>
      <c r="AI30" s="616"/>
      <c r="AJ30" s="616"/>
      <c r="AK30" s="616"/>
      <c r="AL30" s="616"/>
      <c r="AM30" s="616"/>
      <c r="AN30" s="616"/>
      <c r="AO30" s="616"/>
      <c r="AP30" s="616"/>
      <c r="AQ30" s="616"/>
      <c r="AR30" s="616"/>
      <c r="AS30" s="616"/>
      <c r="AT30" s="616"/>
      <c r="AU30" s="616"/>
      <c r="AV30" s="616"/>
      <c r="AW30" s="616"/>
      <c r="AX30" s="616"/>
      <c r="AY30" s="616"/>
      <c r="AZ30" s="616"/>
      <c r="BA30" s="616"/>
      <c r="BB30" s="616"/>
      <c r="BC30" s="616"/>
      <c r="BD30" s="616"/>
      <c r="BE30" s="616"/>
      <c r="BF30" s="616"/>
      <c r="BG30" s="616"/>
      <c r="BH30" s="616"/>
      <c r="BI30" s="616"/>
      <c r="BJ30" s="617"/>
      <c r="BK30" s="610"/>
      <c r="BL30" s="610"/>
      <c r="BM30" s="610"/>
      <c r="BN30" s="610"/>
      <c r="BO30" s="610"/>
      <c r="BP30" s="610"/>
      <c r="BQ30" s="610"/>
    </row>
    <row r="31" spans="2:69" ht="3.75" customHeight="1" x14ac:dyDescent="0.3"/>
    <row r="32" spans="2:69" ht="15.75" customHeight="1" x14ac:dyDescent="0.3">
      <c r="B32" s="1"/>
      <c r="C32" s="537" t="s">
        <v>22</v>
      </c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1"/>
      <c r="BL32" s="1"/>
      <c r="BM32" s="1"/>
      <c r="BN32" s="1"/>
      <c r="BO32" s="1"/>
      <c r="BP32" s="1"/>
      <c r="BQ32" s="1"/>
    </row>
    <row r="33" spans="2:69" ht="5.25" customHeight="1" x14ac:dyDescent="0.3"/>
    <row r="34" spans="2:69" ht="30.75" customHeight="1" x14ac:dyDescent="0.3">
      <c r="B34" s="1"/>
      <c r="C34" s="424" t="s">
        <v>23</v>
      </c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608"/>
      <c r="P34" s="609"/>
      <c r="Q34" s="609"/>
      <c r="R34" s="609"/>
      <c r="S34" s="609"/>
      <c r="T34" s="609"/>
      <c r="U34" s="609"/>
      <c r="V34" s="609"/>
      <c r="W34" s="609"/>
      <c r="X34" s="605" t="s">
        <v>24</v>
      </c>
      <c r="Y34" s="606"/>
      <c r="Z34" s="606"/>
      <c r="AA34" s="606"/>
      <c r="AB34" s="606"/>
      <c r="AC34" s="607"/>
      <c r="AD34" s="828"/>
      <c r="AE34" s="829"/>
      <c r="AF34" s="829"/>
      <c r="AG34" s="829"/>
      <c r="AH34" s="829"/>
      <c r="AI34" s="829"/>
      <c r="AJ34" s="829"/>
      <c r="AK34" s="829"/>
      <c r="AL34" s="829"/>
      <c r="AM34" s="829"/>
      <c r="AN34" s="829"/>
      <c r="AO34" s="830" t="str">
        <f>IF(
  AD34="Aumento de demanda",
  "Para Aumento de Demanda, informe o número da instalação:*",
IF(
  AD34="Redução de demanda",
  "Para Redução de Demanda, informe o número da instalação:*",
IF(
  AD34="Migração Mercado livre sem Aumento de Carga",
  "Para Migração Mercado livre, informe o número da instalação:*",
IF(
  AD34="Migração Mercado livre com Aumento de Carga",
  "Para Migração Mercado livre, informe o número da instalação:*",
IF(
  AD34="Migração Mercado livre com Redução de Carga",
  "Para Migração Mercado livre, informe o número da instalação:*",
IF(
  AD34="Adequação de Subestação",
  "Para Adequação de Subestação, informe o número da instalação:*",
IF(
  AD34="Aderir a Tarifa Monômia",
  "Para Aderir a Tarifa Monômia, informe o número da instalação:*",
IF(
  AD34="Religação de Subestação",
  "Para Religação de Subestação, informe o número da instalação:*",
IF(
  AD34="Desconexão para encerramento contratual",
  "Para Desconexão, informe o número da instalação:*",
IF(
  AD34="Alteração da tensão de fornecimento BT→MT",
  "Para Alteração da tensão, informe o número da instalação:*",
""
))))))))))</f>
        <v/>
      </c>
      <c r="AP34" s="831"/>
      <c r="AQ34" s="831"/>
      <c r="AR34" s="831"/>
      <c r="AS34" s="831"/>
      <c r="AT34" s="831"/>
      <c r="AU34" s="831"/>
      <c r="AV34" s="831"/>
      <c r="AW34" s="831"/>
      <c r="AX34" s="831"/>
      <c r="AY34" s="831"/>
      <c r="AZ34" s="831"/>
      <c r="BA34" s="832"/>
      <c r="BB34" s="833"/>
      <c r="BC34" s="834"/>
      <c r="BD34" s="834"/>
      <c r="BE34" s="834"/>
      <c r="BF34" s="834"/>
      <c r="BG34" s="834"/>
      <c r="BH34" s="834"/>
      <c r="BI34" s="834"/>
      <c r="BJ34" s="835"/>
      <c r="BK34" s="1"/>
      <c r="BL34" s="1"/>
      <c r="BM34" s="1"/>
      <c r="BN34" s="1"/>
      <c r="BO34" s="1"/>
      <c r="BP34" s="1"/>
      <c r="BQ34" s="1"/>
    </row>
    <row r="35" spans="2:69" ht="15.6" x14ac:dyDescent="0.3">
      <c r="B35" s="1"/>
      <c r="C35" s="590" t="s">
        <v>25</v>
      </c>
      <c r="D35" s="591"/>
      <c r="E35" s="591"/>
      <c r="F35" s="591"/>
      <c r="G35" s="591"/>
      <c r="H35" s="591"/>
      <c r="I35" s="591"/>
      <c r="J35" s="591"/>
      <c r="K35" s="591"/>
      <c r="L35" s="591"/>
      <c r="M35" s="591"/>
      <c r="N35" s="591"/>
      <c r="O35" s="591"/>
      <c r="P35" s="591"/>
      <c r="Q35" s="592"/>
      <c r="R35" s="592"/>
      <c r="S35" s="621"/>
      <c r="T35" s="622"/>
      <c r="U35" s="622"/>
      <c r="V35" s="622"/>
      <c r="W35" s="622"/>
      <c r="X35" s="622"/>
      <c r="Y35" s="622"/>
      <c r="Z35" s="622"/>
      <c r="AA35" s="622"/>
      <c r="AB35" s="623"/>
      <c r="AC35" s="559" t="s">
        <v>26</v>
      </c>
      <c r="AD35" s="560"/>
      <c r="AE35" s="560"/>
      <c r="AF35" s="560"/>
      <c r="AG35" s="560"/>
      <c r="AH35" s="560"/>
      <c r="AI35" s="560"/>
      <c r="AJ35" s="560"/>
      <c r="AK35" s="561"/>
      <c r="AL35" s="102" t="s">
        <v>27</v>
      </c>
      <c r="AM35" s="101"/>
      <c r="AN35" s="281"/>
      <c r="AO35" s="562"/>
      <c r="AP35" s="563"/>
      <c r="AQ35" s="563"/>
      <c r="AR35" s="563"/>
      <c r="AS35" s="563"/>
      <c r="AT35" s="563"/>
      <c r="AU35" s="563"/>
      <c r="AV35" s="563"/>
      <c r="AW35" s="564"/>
      <c r="AX35" s="620" t="s">
        <v>28</v>
      </c>
      <c r="AY35" s="560"/>
      <c r="AZ35" s="560"/>
      <c r="BA35" s="624"/>
      <c r="BB35" s="625"/>
      <c r="BC35" s="625"/>
      <c r="BD35" s="625"/>
      <c r="BE35" s="625"/>
      <c r="BF35" s="625"/>
      <c r="BG35" s="625"/>
      <c r="BH35" s="625"/>
      <c r="BI35" s="625"/>
      <c r="BJ35" s="626"/>
      <c r="BK35" s="1"/>
      <c r="BL35" s="1"/>
      <c r="BM35" s="1"/>
      <c r="BN35" s="1"/>
      <c r="BO35" s="1"/>
      <c r="BP35" s="1"/>
      <c r="BQ35" s="1"/>
    </row>
    <row r="36" spans="2:69" ht="3.75" customHeight="1" x14ac:dyDescent="0.3">
      <c r="B36" s="1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3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</row>
    <row r="37" spans="2:69" ht="15.75" customHeight="1" x14ac:dyDescent="0.3">
      <c r="B37" s="1"/>
      <c r="C37" s="537" t="s">
        <v>29</v>
      </c>
      <c r="D37" s="537"/>
      <c r="E37" s="537"/>
      <c r="F37" s="537"/>
      <c r="G37" s="537"/>
      <c r="H37" s="537"/>
      <c r="I37" s="537"/>
      <c r="J37" s="537"/>
      <c r="K37" s="537"/>
      <c r="L37" s="537"/>
      <c r="M37" s="537"/>
      <c r="N37" s="537"/>
      <c r="O37" s="537"/>
      <c r="P37" s="537"/>
      <c r="Q37" s="537"/>
      <c r="R37" s="537"/>
      <c r="S37" s="537"/>
      <c r="T37" s="537"/>
      <c r="U37" s="537"/>
      <c r="V37" s="537"/>
      <c r="W37" s="537"/>
      <c r="X37" s="537"/>
      <c r="Y37" s="537"/>
      <c r="Z37" s="537"/>
      <c r="AA37" s="537"/>
      <c r="AB37" s="537"/>
      <c r="AC37" s="537"/>
      <c r="AD37" s="537"/>
      <c r="AE37" s="537"/>
      <c r="AF37" s="537"/>
      <c r="AG37" s="537"/>
      <c r="AH37" s="537"/>
      <c r="AI37" s="537"/>
      <c r="AJ37" s="537"/>
      <c r="AK37" s="537"/>
      <c r="AL37" s="537"/>
      <c r="AM37" s="537"/>
      <c r="AN37" s="537"/>
      <c r="AO37" s="537"/>
      <c r="AP37" s="537"/>
      <c r="AQ37" s="537"/>
      <c r="AR37" s="537"/>
      <c r="AS37" s="537"/>
      <c r="AT37" s="537"/>
      <c r="AU37" s="537"/>
      <c r="AV37" s="537"/>
      <c r="AW37" s="537"/>
      <c r="AX37" s="537"/>
      <c r="AY37" s="537"/>
      <c r="AZ37" s="537"/>
      <c r="BA37" s="537"/>
      <c r="BB37" s="537"/>
      <c r="BC37" s="537"/>
      <c r="BD37" s="537"/>
      <c r="BE37" s="537"/>
      <c r="BF37" s="537"/>
      <c r="BG37" s="537"/>
      <c r="BH37" s="537"/>
      <c r="BI37" s="537"/>
      <c r="BJ37" s="537"/>
      <c r="BK37" s="1"/>
      <c r="BL37" s="1"/>
      <c r="BM37" s="1"/>
      <c r="BN37" s="1"/>
      <c r="BO37" s="1"/>
      <c r="BP37" s="1"/>
      <c r="BQ37" s="1"/>
    </row>
    <row r="38" spans="2:69" ht="4.5" customHeight="1" x14ac:dyDescent="0.3"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</row>
    <row r="39" spans="2:69" ht="15.6" x14ac:dyDescent="0.3">
      <c r="B39" s="1"/>
      <c r="C39" s="532" t="s">
        <v>30</v>
      </c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593"/>
      <c r="R39" s="594"/>
      <c r="S39" s="571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  <c r="AO39" s="572"/>
      <c r="AP39" s="572"/>
      <c r="AQ39" s="572"/>
      <c r="AR39" s="572"/>
      <c r="AS39" s="572"/>
      <c r="AT39" s="572"/>
      <c r="AU39" s="572"/>
      <c r="AV39" s="572"/>
      <c r="AW39" s="572"/>
      <c r="AX39" s="572"/>
      <c r="AY39" s="572"/>
      <c r="AZ39" s="572"/>
      <c r="BA39" s="572"/>
      <c r="BB39" s="572"/>
      <c r="BC39" s="572"/>
      <c r="BD39" s="572"/>
      <c r="BE39" s="572"/>
      <c r="BF39" s="572"/>
      <c r="BG39" s="572"/>
      <c r="BH39" s="572"/>
      <c r="BI39" s="572"/>
      <c r="BJ39" s="573"/>
      <c r="BK39" s="1"/>
    </row>
    <row r="40" spans="2:69" ht="15.6" x14ac:dyDescent="0.3">
      <c r="B40" s="1"/>
      <c r="C40" s="565" t="s">
        <v>31</v>
      </c>
      <c r="D40" s="566"/>
      <c r="E40" s="566"/>
      <c r="F40" s="566"/>
      <c r="G40" s="567"/>
      <c r="H40" s="568"/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569"/>
      <c r="AI40" s="569"/>
      <c r="AJ40" s="569"/>
      <c r="AK40" s="569"/>
      <c r="AL40" s="569"/>
      <c r="AM40" s="569"/>
      <c r="AN40" s="569"/>
      <c r="AO40" s="569"/>
      <c r="AP40" s="569"/>
      <c r="AQ40" s="569"/>
      <c r="AR40" s="569"/>
      <c r="AS40" s="569"/>
      <c r="AT40" s="569"/>
      <c r="AU40" s="569"/>
      <c r="AV40" s="569"/>
      <c r="AW40" s="569"/>
      <c r="AX40" s="569"/>
      <c r="AY40" s="569"/>
      <c r="AZ40" s="569"/>
      <c r="BA40" s="569"/>
      <c r="BB40" s="569"/>
      <c r="BC40" s="569"/>
      <c r="BD40" s="569"/>
      <c r="BE40" s="569"/>
      <c r="BF40" s="569"/>
      <c r="BG40" s="569"/>
      <c r="BH40" s="569"/>
      <c r="BI40" s="569"/>
      <c r="BJ40" s="570"/>
      <c r="BK40" s="1"/>
    </row>
    <row r="41" spans="2:69" ht="20.100000000000001" customHeight="1" x14ac:dyDescent="0.3">
      <c r="C41" s="595" t="s">
        <v>32</v>
      </c>
      <c r="D41" s="596"/>
      <c r="E41" s="596"/>
      <c r="F41" s="596"/>
      <c r="G41" s="596"/>
      <c r="H41" s="596"/>
      <c r="I41" s="596"/>
      <c r="J41" s="596"/>
      <c r="K41" s="596"/>
      <c r="L41" s="596"/>
      <c r="M41" s="596"/>
      <c r="N41" s="597"/>
      <c r="O41" s="598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600"/>
      <c r="AA41" s="574" t="s">
        <v>33</v>
      </c>
      <c r="AB41" s="575"/>
      <c r="AC41" s="575"/>
      <c r="AD41" s="575"/>
      <c r="AE41" s="575"/>
      <c r="AF41" s="575"/>
      <c r="AG41" s="575"/>
      <c r="AH41" s="575"/>
      <c r="AI41" s="575"/>
      <c r="AJ41" s="575"/>
      <c r="AK41" s="576"/>
      <c r="AL41" s="601"/>
      <c r="AM41" s="602"/>
      <c r="AN41" s="602"/>
      <c r="AO41" s="602"/>
      <c r="AP41" s="602"/>
      <c r="AQ41" s="602"/>
      <c r="AR41" s="602"/>
      <c r="AS41" s="602"/>
      <c r="AT41" s="602"/>
      <c r="AU41" s="602"/>
      <c r="AV41" s="602"/>
      <c r="AW41" s="602"/>
      <c r="AX41" s="602"/>
      <c r="AY41" s="602"/>
      <c r="AZ41" s="602"/>
      <c r="BA41" s="602"/>
      <c r="BB41" s="602"/>
      <c r="BC41" s="602"/>
      <c r="BD41" s="602"/>
      <c r="BE41" s="602"/>
      <c r="BF41" s="602"/>
      <c r="BG41" s="602"/>
      <c r="BH41" s="602"/>
      <c r="BI41" s="602"/>
      <c r="BJ41" s="603"/>
    </row>
    <row r="42" spans="2:69" ht="20.100000000000001" customHeight="1" x14ac:dyDescent="0.3">
      <c r="C42" s="406" t="s">
        <v>34</v>
      </c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8"/>
      <c r="O42" s="598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600"/>
      <c r="AA42" s="406" t="s">
        <v>35</v>
      </c>
      <c r="AB42" s="407"/>
      <c r="AC42" s="407"/>
      <c r="AD42" s="407"/>
      <c r="AE42" s="407"/>
      <c r="AF42" s="407"/>
      <c r="AG42" s="407"/>
      <c r="AH42" s="407"/>
      <c r="AI42" s="407"/>
      <c r="AJ42" s="407"/>
      <c r="AK42" s="408"/>
      <c r="AL42" s="633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4"/>
      <c r="BC42" s="634"/>
      <c r="BD42" s="634"/>
      <c r="BE42" s="634"/>
      <c r="BF42" s="634"/>
      <c r="BG42" s="634"/>
      <c r="BH42" s="634"/>
      <c r="BI42" s="634"/>
      <c r="BJ42" s="635"/>
    </row>
    <row r="43" spans="2:69" ht="4.5" customHeight="1" x14ac:dyDescent="0.3"/>
    <row r="44" spans="2:69" s="215" customFormat="1" ht="20.100000000000001" customHeight="1" x14ac:dyDescent="0.3">
      <c r="C44" s="537" t="s">
        <v>36</v>
      </c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</row>
    <row r="45" spans="2:69" ht="3.75" customHeight="1" x14ac:dyDescent="0.3"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</row>
    <row r="46" spans="2:69" ht="20.100000000000001" customHeight="1" x14ac:dyDescent="0.3">
      <c r="B46" s="137"/>
      <c r="C46" s="521" t="s">
        <v>37</v>
      </c>
      <c r="D46" s="521"/>
      <c r="E46" s="521"/>
      <c r="F46" s="521"/>
      <c r="G46" s="521"/>
      <c r="H46" s="521"/>
      <c r="I46" s="521"/>
      <c r="J46" s="521"/>
      <c r="K46" s="521"/>
      <c r="L46" s="521"/>
      <c r="M46" s="521"/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608"/>
      <c r="AE46" s="609"/>
      <c r="AF46" s="627"/>
      <c r="AG46" s="628"/>
      <c r="AH46" s="628"/>
      <c r="AI46" s="628"/>
      <c r="AJ46" s="628"/>
      <c r="AK46" s="137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  <c r="BB46" s="276"/>
      <c r="BC46" s="276"/>
      <c r="BD46" s="276"/>
      <c r="BE46" s="276"/>
      <c r="BF46" s="276"/>
      <c r="BG46" s="276"/>
      <c r="BH46" s="276"/>
      <c r="BI46" s="276"/>
      <c r="BJ46" s="276"/>
      <c r="BK46" s="137"/>
    </row>
    <row r="47" spans="2:69" ht="20.100000000000001" customHeight="1" x14ac:dyDescent="0.3">
      <c r="B47" s="137"/>
      <c r="C47" s="521" t="s">
        <v>38</v>
      </c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  <c r="P47" s="521"/>
      <c r="Q47" s="521"/>
      <c r="R47" s="521"/>
      <c r="S47" s="636"/>
      <c r="T47" s="636"/>
      <c r="U47" s="636"/>
      <c r="V47" s="636"/>
      <c r="W47" s="636"/>
      <c r="X47" s="636"/>
      <c r="Y47" s="636"/>
      <c r="Z47" s="636"/>
      <c r="AA47" s="636"/>
      <c r="AB47" s="636"/>
      <c r="AC47" s="636"/>
      <c r="AD47" s="436" t="s">
        <v>39</v>
      </c>
      <c r="AE47" s="437"/>
      <c r="AF47" s="437"/>
      <c r="AG47" s="437"/>
      <c r="AH47" s="437"/>
      <c r="AI47" s="437"/>
      <c r="AJ47" s="438"/>
      <c r="AK47" s="554"/>
      <c r="AL47" s="555"/>
      <c r="AM47" s="555"/>
      <c r="AN47" s="555"/>
      <c r="AO47" s="555"/>
      <c r="AP47" s="555"/>
      <c r="AQ47" s="555"/>
      <c r="AR47" s="555"/>
      <c r="AS47" s="555"/>
      <c r="AT47" s="555"/>
      <c r="AU47" s="555"/>
      <c r="AV47" s="555"/>
      <c r="AW47" s="555"/>
      <c r="AX47" s="555"/>
      <c r="AY47" s="555"/>
      <c r="AZ47" s="555"/>
      <c r="BA47" s="555"/>
      <c r="BB47" s="555"/>
      <c r="BC47" s="555"/>
      <c r="BD47" s="555"/>
      <c r="BE47" s="555"/>
      <c r="BF47" s="555"/>
      <c r="BG47" s="555"/>
      <c r="BH47" s="555"/>
      <c r="BI47" s="555"/>
      <c r="BJ47" s="556"/>
      <c r="BK47" s="137"/>
    </row>
    <row r="48" spans="2:69" ht="3.75" customHeight="1" x14ac:dyDescent="0.3">
      <c r="B48" s="137"/>
      <c r="C48" s="277"/>
      <c r="D48" s="277"/>
      <c r="E48" s="277"/>
      <c r="F48" s="277"/>
      <c r="G48" s="277"/>
      <c r="H48" s="278"/>
      <c r="I48" s="278"/>
      <c r="J48" s="278"/>
      <c r="K48" s="278"/>
      <c r="L48" s="279"/>
      <c r="M48" s="279"/>
      <c r="N48" s="279"/>
      <c r="O48" s="279"/>
      <c r="P48" s="279"/>
      <c r="Q48" s="279"/>
      <c r="R48" s="279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137"/>
    </row>
    <row r="49" spans="2:63" ht="20.100000000000001" customHeight="1" x14ac:dyDescent="0.3">
      <c r="B49" s="137"/>
      <c r="C49" s="629" t="s">
        <v>40</v>
      </c>
      <c r="D49" s="629"/>
      <c r="E49" s="629"/>
      <c r="F49" s="629"/>
      <c r="G49" s="629"/>
      <c r="H49" s="629"/>
      <c r="I49" s="629"/>
      <c r="J49" s="629"/>
      <c r="K49" s="629"/>
      <c r="L49" s="629"/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  <c r="AY49" s="629"/>
      <c r="AZ49" s="629"/>
      <c r="BA49" s="629"/>
      <c r="BB49" s="629"/>
      <c r="BC49" s="629"/>
      <c r="BD49" s="629"/>
      <c r="BE49" s="629"/>
      <c r="BF49" s="629"/>
      <c r="BG49" s="629"/>
      <c r="BH49" s="629"/>
      <c r="BI49" s="629"/>
      <c r="BJ49" s="629"/>
      <c r="BK49" s="137"/>
    </row>
    <row r="50" spans="2:63" ht="20.100000000000001" customHeight="1" x14ac:dyDescent="0.3">
      <c r="B50" s="137"/>
      <c r="C50" s="630" t="s">
        <v>41</v>
      </c>
      <c r="D50" s="631"/>
      <c r="E50" s="631"/>
      <c r="F50" s="631"/>
      <c r="G50" s="631"/>
      <c r="H50" s="631"/>
      <c r="I50" s="631"/>
      <c r="J50" s="631"/>
      <c r="K50" s="631"/>
      <c r="L50" s="63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  <c r="AG50" s="522"/>
      <c r="AH50" s="522"/>
      <c r="AI50" s="522"/>
      <c r="AJ50" s="522"/>
      <c r="AK50" s="521" t="s">
        <v>42</v>
      </c>
      <c r="AL50" s="521"/>
      <c r="AM50" s="521"/>
      <c r="AN50" s="521"/>
      <c r="AO50" s="522"/>
      <c r="AP50" s="522"/>
      <c r="AQ50" s="522"/>
      <c r="AR50" s="522"/>
      <c r="AS50" s="522"/>
      <c r="AT50" s="522"/>
      <c r="AU50" s="522"/>
      <c r="AV50" s="521" t="s">
        <v>43</v>
      </c>
      <c r="AW50" s="521"/>
      <c r="AX50" s="521"/>
      <c r="AY50" s="521"/>
      <c r="AZ50" s="522"/>
      <c r="BA50" s="522"/>
      <c r="BB50" s="522"/>
      <c r="BC50" s="522"/>
      <c r="BD50" s="522"/>
      <c r="BE50" s="522"/>
      <c r="BF50" s="522"/>
      <c r="BG50" s="522"/>
      <c r="BH50" s="522"/>
      <c r="BI50" s="522"/>
      <c r="BJ50" s="522"/>
      <c r="BK50" s="137"/>
    </row>
    <row r="51" spans="2:63" ht="20.100000000000001" customHeight="1" x14ac:dyDescent="0.3">
      <c r="B51" s="137"/>
      <c r="C51" s="630" t="s">
        <v>44</v>
      </c>
      <c r="D51" s="631"/>
      <c r="E51" s="631"/>
      <c r="F51" s="631"/>
      <c r="G51" s="631"/>
      <c r="H51" s="631"/>
      <c r="I51" s="631"/>
      <c r="J51" s="631"/>
      <c r="K51" s="631"/>
      <c r="L51" s="632" t="s">
        <v>45</v>
      </c>
      <c r="M51" s="522"/>
      <c r="N51" s="522"/>
      <c r="O51" s="522"/>
      <c r="P51" s="522"/>
      <c r="Q51" s="522"/>
      <c r="R51" s="522"/>
      <c r="S51" s="522"/>
      <c r="T51" s="522"/>
      <c r="U51" s="522"/>
      <c r="V51" s="522"/>
      <c r="W51" s="522"/>
      <c r="X51" s="522"/>
      <c r="Y51" s="522"/>
      <c r="Z51" s="522"/>
      <c r="AA51" s="522"/>
      <c r="AB51" s="522"/>
      <c r="AC51" s="522"/>
      <c r="AD51" s="522"/>
      <c r="AE51" s="522"/>
      <c r="AF51" s="522"/>
      <c r="AG51" s="522"/>
      <c r="AH51" s="522"/>
      <c r="AI51" s="522"/>
      <c r="AJ51" s="522"/>
      <c r="AK51" s="521" t="s">
        <v>45</v>
      </c>
      <c r="AL51" s="521"/>
      <c r="AM51" s="521"/>
      <c r="AN51" s="521"/>
      <c r="AO51" s="522"/>
      <c r="AP51" s="522"/>
      <c r="AQ51" s="522"/>
      <c r="AR51" s="522"/>
      <c r="AS51" s="522"/>
      <c r="AT51" s="522"/>
      <c r="AU51" s="522"/>
      <c r="AV51" s="280"/>
      <c r="AW51" s="280"/>
      <c r="AX51" s="280"/>
      <c r="AY51" s="280"/>
      <c r="AZ51" s="280"/>
      <c r="BA51" s="280"/>
      <c r="BB51" s="280"/>
      <c r="BC51" s="280"/>
      <c r="BD51" s="280"/>
      <c r="BE51" s="280"/>
      <c r="BF51" s="280"/>
      <c r="BG51" s="280"/>
      <c r="BH51" s="280"/>
      <c r="BI51" s="280"/>
      <c r="BJ51" s="280"/>
      <c r="BK51" s="137"/>
    </row>
    <row r="52" spans="2:63" ht="20.100000000000001" customHeight="1" x14ac:dyDescent="0.3">
      <c r="B52" s="137"/>
      <c r="C52" s="630" t="s">
        <v>46</v>
      </c>
      <c r="D52" s="631"/>
      <c r="E52" s="631"/>
      <c r="F52" s="631"/>
      <c r="G52" s="631"/>
      <c r="H52" s="631"/>
      <c r="I52" s="631"/>
      <c r="J52" s="631"/>
      <c r="K52" s="631"/>
      <c r="L52" s="632" t="s">
        <v>47</v>
      </c>
      <c r="M52" s="522"/>
      <c r="N52" s="522"/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/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  <c r="AK52" s="521" t="s">
        <v>47</v>
      </c>
      <c r="AL52" s="521"/>
      <c r="AM52" s="521"/>
      <c r="AN52" s="521"/>
      <c r="AO52" s="522"/>
      <c r="AP52" s="522"/>
      <c r="AQ52" s="522"/>
      <c r="AR52" s="522"/>
      <c r="AS52" s="522"/>
      <c r="AT52" s="522"/>
      <c r="AU52" s="522"/>
      <c r="AV52" s="280"/>
      <c r="AW52" s="280"/>
      <c r="AX52" s="280"/>
      <c r="AY52" s="280"/>
      <c r="AZ52" s="280"/>
      <c r="BA52" s="280"/>
      <c r="BB52" s="280"/>
      <c r="BC52" s="280"/>
      <c r="BD52" s="280"/>
      <c r="BE52" s="280"/>
      <c r="BF52" s="280"/>
      <c r="BG52" s="280"/>
      <c r="BH52" s="280"/>
      <c r="BI52" s="280"/>
      <c r="BJ52" s="280"/>
      <c r="BK52" s="137"/>
    </row>
    <row r="53" spans="2:63" ht="5.25" customHeight="1" x14ac:dyDescent="0.3">
      <c r="B53" s="137"/>
      <c r="C53" s="217"/>
      <c r="D53" s="218"/>
      <c r="E53" s="218"/>
      <c r="F53" s="218"/>
      <c r="G53" s="218"/>
      <c r="H53" s="218"/>
      <c r="I53" s="218"/>
      <c r="J53" s="218"/>
      <c r="K53" s="218"/>
      <c r="L53" s="219"/>
      <c r="M53" s="216"/>
      <c r="N53" s="220"/>
      <c r="O53" s="220"/>
      <c r="P53" s="217"/>
      <c r="Q53" s="217"/>
      <c r="R53" s="217"/>
      <c r="BK53" s="137"/>
    </row>
    <row r="54" spans="2:63" ht="40.5" customHeight="1" x14ac:dyDescent="0.3">
      <c r="B54" s="137"/>
      <c r="C54" s="536" t="s">
        <v>48</v>
      </c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8"/>
      <c r="AW54" s="538"/>
      <c r="AX54" s="538"/>
      <c r="AY54" s="538"/>
      <c r="AZ54" s="538"/>
      <c r="BA54" s="538"/>
      <c r="BB54" s="538"/>
      <c r="BC54" s="538"/>
      <c r="BD54" s="538"/>
      <c r="BE54" s="538"/>
      <c r="BF54" s="538"/>
      <c r="BG54" s="538"/>
      <c r="BH54" s="538"/>
      <c r="BI54" s="538"/>
      <c r="BJ54" s="538"/>
      <c r="BK54" s="137"/>
    </row>
    <row r="55" spans="2:63" ht="3" customHeight="1" x14ac:dyDescent="0.3">
      <c r="B55" s="222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3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</row>
    <row r="56" spans="2:63" ht="15.6" x14ac:dyDescent="0.3">
      <c r="B56" s="1"/>
      <c r="C56" s="537" t="s">
        <v>49</v>
      </c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1"/>
    </row>
    <row r="57" spans="2:63" ht="3" customHeight="1" x14ac:dyDescent="0.3"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280"/>
      <c r="AF57" s="280"/>
      <c r="AG57" s="280"/>
      <c r="AH57" s="280"/>
      <c r="AI57" s="280"/>
      <c r="AJ57" s="280"/>
      <c r="AK57" s="280"/>
      <c r="AL57" s="280"/>
      <c r="AM57" s="280"/>
      <c r="AN57" s="280"/>
      <c r="AO57" s="280"/>
      <c r="AP57" s="280"/>
      <c r="AQ57" s="280"/>
      <c r="AR57" s="280"/>
      <c r="AS57" s="280"/>
      <c r="AT57" s="280"/>
      <c r="AU57" s="280"/>
      <c r="AV57" s="280"/>
      <c r="AW57" s="280"/>
      <c r="AX57" s="280"/>
      <c r="AY57" s="280"/>
      <c r="AZ57" s="280"/>
      <c r="BA57" s="280"/>
      <c r="BB57" s="280"/>
      <c r="BC57" s="280"/>
      <c r="BD57" s="280"/>
      <c r="BE57" s="280"/>
      <c r="BF57" s="280"/>
      <c r="BG57" s="280"/>
      <c r="BH57" s="280"/>
      <c r="BI57" s="280"/>
      <c r="BJ57" s="280"/>
    </row>
    <row r="58" spans="2:63" ht="15.9" customHeight="1" x14ac:dyDescent="0.3">
      <c r="B58" s="1"/>
      <c r="C58" s="532" t="s">
        <v>50</v>
      </c>
      <c r="D58" s="439"/>
      <c r="E58" s="439"/>
      <c r="F58" s="439"/>
      <c r="G58" s="439"/>
      <c r="H58" s="439"/>
      <c r="I58" s="439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9"/>
      <c r="U58" s="533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5"/>
      <c r="AI58" s="473" t="s">
        <v>51</v>
      </c>
      <c r="AJ58" s="473"/>
      <c r="AK58" s="473"/>
      <c r="AL58" s="473"/>
      <c r="AM58" s="473"/>
      <c r="AN58" s="473"/>
      <c r="AO58" s="473"/>
      <c r="AP58" s="473"/>
      <c r="AQ58" s="554"/>
      <c r="AR58" s="555"/>
      <c r="AS58" s="555"/>
      <c r="AT58" s="555"/>
      <c r="AU58" s="555"/>
      <c r="AV58" s="555"/>
      <c r="AW58" s="555"/>
      <c r="AX58" s="555"/>
      <c r="AY58" s="555"/>
      <c r="AZ58" s="555"/>
      <c r="BA58" s="555"/>
      <c r="BB58" s="555"/>
      <c r="BC58" s="555"/>
      <c r="BD58" s="555"/>
      <c r="BE58" s="555"/>
      <c r="BF58" s="555"/>
      <c r="BG58" s="555"/>
      <c r="BH58" s="555"/>
      <c r="BI58" s="555"/>
      <c r="BJ58" s="556"/>
      <c r="BK58" s="1"/>
    </row>
    <row r="59" spans="2:63" ht="15.9" customHeight="1" x14ac:dyDescent="0.3">
      <c r="B59" s="1"/>
      <c r="C59" s="340" t="s">
        <v>52</v>
      </c>
      <c r="D59" s="106"/>
      <c r="E59" s="106"/>
      <c r="F59" s="554"/>
      <c r="G59" s="555"/>
      <c r="H59" s="555"/>
      <c r="I59" s="555"/>
      <c r="J59" s="555"/>
      <c r="K59" s="555"/>
      <c r="L59" s="555"/>
      <c r="M59" s="555"/>
      <c r="N59" s="555"/>
      <c r="O59" s="555"/>
      <c r="P59" s="555"/>
      <c r="Q59" s="555"/>
      <c r="R59" s="555"/>
      <c r="S59" s="555"/>
      <c r="T59" s="556"/>
      <c r="U59" s="557" t="s">
        <v>53</v>
      </c>
      <c r="V59" s="557"/>
      <c r="W59" s="557"/>
      <c r="X59" s="557"/>
      <c r="Y59" s="557"/>
      <c r="Z59" s="557"/>
      <c r="AA59" s="667"/>
      <c r="AB59" s="668"/>
      <c r="AC59" s="668"/>
      <c r="AD59" s="668"/>
      <c r="AE59" s="668"/>
      <c r="AF59" s="668"/>
      <c r="AG59" s="668"/>
      <c r="AH59" s="669"/>
      <c r="AI59" s="341" t="s">
        <v>54</v>
      </c>
      <c r="AJ59" s="341"/>
      <c r="AK59" s="341"/>
      <c r="AL59" s="341"/>
      <c r="AM59" s="341"/>
      <c r="AN59" s="341"/>
      <c r="AO59" s="341"/>
      <c r="AP59" s="342"/>
      <c r="AQ59" s="662"/>
      <c r="AR59" s="663"/>
      <c r="AS59" s="663"/>
      <c r="AT59" s="663"/>
      <c r="AU59" s="663"/>
      <c r="AV59" s="663"/>
      <c r="AW59" s="663"/>
      <c r="AX59" s="663"/>
      <c r="AY59" s="663"/>
      <c r="AZ59" s="663"/>
      <c r="BA59" s="663"/>
      <c r="BB59" s="399" t="s">
        <v>55</v>
      </c>
      <c r="BC59" s="473"/>
      <c r="BD59" s="473"/>
      <c r="BE59" s="400"/>
      <c r="BF59" s="664"/>
      <c r="BG59" s="665"/>
      <c r="BH59" s="665"/>
      <c r="BI59" s="665"/>
      <c r="BJ59" s="666"/>
      <c r="BK59" s="1"/>
    </row>
    <row r="60" spans="2:63" ht="4.5" customHeight="1" x14ac:dyDescent="0.3"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280"/>
      <c r="AF60" s="280"/>
      <c r="AG60" s="280"/>
      <c r="AH60" s="280"/>
      <c r="AI60" s="280"/>
      <c r="AJ60" s="280"/>
      <c r="AK60" s="280"/>
      <c r="AL60" s="280"/>
      <c r="AM60" s="280"/>
      <c r="AN60" s="280"/>
      <c r="AO60" s="280"/>
      <c r="AP60" s="280"/>
      <c r="AQ60" s="280"/>
      <c r="AR60" s="280"/>
      <c r="AS60" s="280"/>
      <c r="AT60" s="280"/>
      <c r="AU60" s="280"/>
      <c r="AV60" s="280"/>
      <c r="AW60" s="280"/>
      <c r="AX60" s="280"/>
      <c r="AY60" s="280"/>
      <c r="AZ60" s="280"/>
      <c r="BA60" s="280"/>
      <c r="BB60" s="280"/>
      <c r="BC60" s="280"/>
      <c r="BD60" s="280"/>
      <c r="BE60" s="280"/>
      <c r="BF60" s="280"/>
      <c r="BG60" s="280"/>
      <c r="BH60" s="280"/>
      <c r="BI60" s="280"/>
      <c r="BJ60" s="280"/>
    </row>
    <row r="61" spans="2:63" ht="15.9" customHeight="1" x14ac:dyDescent="0.3">
      <c r="B61" s="1"/>
      <c r="C61" s="697" t="str">
        <f>IF(AD34="Conexão Nova","Informe as coordenadas do local de atendimento:","Haverá mudança do local da subestação? Se sim, informe as novas coordenadas e as antigas*:")</f>
        <v>Haverá mudança do local da subestação? Se sim, informe as novas coordenadas e as antigas*:</v>
      </c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698"/>
      <c r="X61" s="698"/>
      <c r="Y61" s="699"/>
      <c r="Z61" s="523"/>
      <c r="AA61" s="524"/>
      <c r="AB61" s="524"/>
      <c r="AC61" s="525"/>
      <c r="AD61" s="746" t="s">
        <v>56</v>
      </c>
      <c r="AE61" s="747"/>
      <c r="AF61" s="748"/>
      <c r="AG61" s="755"/>
      <c r="AH61" s="756"/>
      <c r="AI61" s="757"/>
      <c r="AJ61" s="549" t="str">
        <f>IF(AD34="Conexão Nova","Latitude*:","Latitude atual:")</f>
        <v>Latitude atual:</v>
      </c>
      <c r="AK61" s="549"/>
      <c r="AL61" s="549"/>
      <c r="AM61" s="549"/>
      <c r="AN61" s="549"/>
      <c r="AO61" s="550"/>
      <c r="AP61" s="545"/>
      <c r="AQ61" s="546"/>
      <c r="AR61" s="546"/>
      <c r="AS61" s="546"/>
      <c r="AT61" s="546"/>
      <c r="AU61" s="546"/>
      <c r="AV61" s="547"/>
      <c r="AW61" s="548" t="str">
        <f>IF(AD34="Conexão Nova","Longitude*:","Longitude atual:")</f>
        <v>Longitude atual:</v>
      </c>
      <c r="AX61" s="549"/>
      <c r="AY61" s="549"/>
      <c r="AZ61" s="549"/>
      <c r="BA61" s="549"/>
      <c r="BB61" s="550"/>
      <c r="BC61" s="542"/>
      <c r="BD61" s="543"/>
      <c r="BE61" s="543"/>
      <c r="BF61" s="543"/>
      <c r="BG61" s="543"/>
      <c r="BH61" s="543"/>
      <c r="BI61" s="543"/>
      <c r="BJ61" s="544"/>
      <c r="BK61" s="1"/>
    </row>
    <row r="62" spans="2:63" ht="15.9" customHeight="1" x14ac:dyDescent="0.3">
      <c r="B62" s="1"/>
      <c r="C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2"/>
      <c r="Z62" s="526"/>
      <c r="AA62" s="527"/>
      <c r="AB62" s="527"/>
      <c r="AC62" s="528"/>
      <c r="AD62" s="749"/>
      <c r="AE62" s="750"/>
      <c r="AF62" s="751"/>
      <c r="AG62" s="758"/>
      <c r="AH62" s="759"/>
      <c r="AI62" s="760"/>
      <c r="AJ62" s="566" t="s">
        <v>57</v>
      </c>
      <c r="AK62" s="566"/>
      <c r="AL62" s="566"/>
      <c r="AM62" s="566"/>
      <c r="AN62" s="566"/>
      <c r="AO62" s="567"/>
      <c r="AP62" s="545"/>
      <c r="AQ62" s="546"/>
      <c r="AR62" s="546"/>
      <c r="AS62" s="546"/>
      <c r="AT62" s="546"/>
      <c r="AU62" s="546"/>
      <c r="AV62" s="547"/>
      <c r="AW62" s="532" t="s">
        <v>58</v>
      </c>
      <c r="AX62" s="439"/>
      <c r="AY62" s="439"/>
      <c r="AZ62" s="439"/>
      <c r="BA62" s="439"/>
      <c r="BB62" s="440"/>
      <c r="BC62" s="542"/>
      <c r="BD62" s="543"/>
      <c r="BE62" s="543"/>
      <c r="BF62" s="543"/>
      <c r="BG62" s="543"/>
      <c r="BH62" s="543"/>
      <c r="BI62" s="543"/>
      <c r="BJ62" s="544"/>
      <c r="BK62" s="1"/>
    </row>
    <row r="63" spans="2:63" ht="15.9" customHeight="1" x14ac:dyDescent="0.3">
      <c r="B63" s="1"/>
      <c r="C63" s="703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705"/>
      <c r="Z63" s="529"/>
      <c r="AA63" s="530"/>
      <c r="AB63" s="530"/>
      <c r="AC63" s="531"/>
      <c r="AD63" s="752"/>
      <c r="AE63" s="753"/>
      <c r="AF63" s="754"/>
      <c r="AG63" s="761"/>
      <c r="AH63" s="762"/>
      <c r="AI63" s="763"/>
      <c r="AJ63" s="539" t="s">
        <v>59</v>
      </c>
      <c r="AK63" s="540"/>
      <c r="AL63" s="540"/>
      <c r="AM63" s="540"/>
      <c r="AN63" s="540"/>
      <c r="AO63" s="540"/>
      <c r="AP63" s="540"/>
      <c r="AQ63" s="540"/>
      <c r="AR63" s="540"/>
      <c r="AS63" s="540"/>
      <c r="AT63" s="540"/>
      <c r="AU63" s="540"/>
      <c r="AV63" s="541"/>
      <c r="AW63" s="551" t="str">
        <f>IFERROR(CONCATENATE(LEFT(Planilha5!AD5,6),":",LEFT(Planilha5!AE5,7)),"")</f>
        <v>500000:0</v>
      </c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3"/>
      <c r="BK63" s="1"/>
    </row>
    <row r="64" spans="2:63" ht="27" customHeight="1" x14ac:dyDescent="0.3">
      <c r="B64" s="1"/>
      <c r="C64" s="458" t="str">
        <f>IF(Z61="Sim","Informar a coordenada nova em planta situação conforme ND-5.3!","")</f>
        <v/>
      </c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  <c r="AT64" s="459"/>
      <c r="AU64" s="459"/>
      <c r="AV64" s="459"/>
      <c r="AW64" s="459"/>
      <c r="AX64" s="459"/>
      <c r="AY64" s="459"/>
      <c r="AZ64" s="459"/>
      <c r="BA64" s="459"/>
      <c r="BB64" s="459"/>
      <c r="BC64" s="459"/>
      <c r="BD64" s="459"/>
      <c r="BE64" s="459"/>
      <c r="BF64" s="459"/>
      <c r="BG64" s="459"/>
      <c r="BH64" s="459"/>
      <c r="BI64" s="459"/>
      <c r="BJ64" s="460"/>
      <c r="BK64" s="1"/>
    </row>
    <row r="65" spans="2:63" ht="2.25" customHeight="1" x14ac:dyDescent="0.3"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  <c r="AF65" s="280"/>
      <c r="AG65" s="280"/>
      <c r="AH65" s="280"/>
      <c r="AI65" s="280"/>
      <c r="AJ65" s="280"/>
      <c r="AK65" s="280"/>
      <c r="AL65" s="280"/>
      <c r="AM65" s="280"/>
      <c r="AN65" s="280"/>
      <c r="AO65" s="280"/>
      <c r="AP65" s="280"/>
      <c r="AQ65" s="280"/>
      <c r="AR65" s="280"/>
      <c r="AS65" s="280"/>
      <c r="AT65" s="280"/>
      <c r="AU65" s="280"/>
      <c r="AV65" s="280"/>
      <c r="AW65" s="280"/>
      <c r="AX65" s="280"/>
      <c r="AY65" s="280"/>
      <c r="AZ65" s="280"/>
      <c r="BA65" s="280"/>
      <c r="BB65" s="280"/>
      <c r="BC65" s="280"/>
      <c r="BD65" s="280"/>
      <c r="BE65" s="280"/>
      <c r="BF65" s="280"/>
      <c r="BG65" s="280"/>
      <c r="BH65" s="280"/>
      <c r="BI65" s="280"/>
      <c r="BJ65" s="280"/>
    </row>
    <row r="66" spans="2:63" ht="15.9" customHeight="1" x14ac:dyDescent="0.3">
      <c r="B66" s="1"/>
      <c r="C66" s="397" t="s">
        <v>60</v>
      </c>
      <c r="D66" s="398"/>
      <c r="E66" s="398"/>
      <c r="F66" s="398"/>
      <c r="G66" s="398"/>
      <c r="H66" s="398"/>
      <c r="I66" s="398"/>
      <c r="J66" s="399" t="s">
        <v>61</v>
      </c>
      <c r="K66" s="473"/>
      <c r="L66" s="473"/>
      <c r="M66" s="473"/>
      <c r="N66" s="473"/>
      <c r="O66" s="473"/>
      <c r="P66" s="473"/>
      <c r="Q66" s="473"/>
      <c r="R66" s="400"/>
      <c r="S66" s="672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4"/>
      <c r="AI66" s="399" t="s">
        <v>62</v>
      </c>
      <c r="AJ66" s="400"/>
      <c r="AK66" s="670"/>
      <c r="AL66" s="670"/>
      <c r="AM66" s="670"/>
      <c r="AN66" s="670"/>
      <c r="AO66" s="399" t="s">
        <v>63</v>
      </c>
      <c r="AP66" s="473"/>
      <c r="AQ66" s="400"/>
      <c r="AR66" s="672"/>
      <c r="AS66" s="673"/>
      <c r="AT66" s="673"/>
      <c r="AU66" s="673"/>
      <c r="AV66" s="673"/>
      <c r="AW66" s="673"/>
      <c r="AX66" s="673"/>
      <c r="AY66" s="673"/>
      <c r="AZ66" s="674"/>
      <c r="BA66" s="399" t="s">
        <v>64</v>
      </c>
      <c r="BB66" s="473"/>
      <c r="BC66" s="473"/>
      <c r="BD66" s="400"/>
      <c r="BE66" s="664"/>
      <c r="BF66" s="665"/>
      <c r="BG66" s="665"/>
      <c r="BH66" s="665"/>
      <c r="BI66" s="665"/>
      <c r="BJ66" s="666"/>
      <c r="BK66" s="1"/>
    </row>
    <row r="67" spans="2:63" ht="2.25" customHeight="1" x14ac:dyDescent="0.3"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80"/>
      <c r="AG67" s="280"/>
      <c r="AH67" s="280"/>
      <c r="AI67" s="280"/>
      <c r="AJ67" s="280"/>
      <c r="AK67" s="280"/>
      <c r="AL67" s="280"/>
      <c r="AM67" s="280"/>
      <c r="AN67" s="280"/>
      <c r="AO67" s="280"/>
      <c r="AP67" s="280"/>
      <c r="AQ67" s="280"/>
      <c r="AR67" s="280"/>
      <c r="AS67" s="280"/>
      <c r="AT67" s="280"/>
      <c r="AU67" s="280"/>
      <c r="AV67" s="280"/>
      <c r="AW67" s="280"/>
      <c r="AX67" s="280"/>
      <c r="AY67" s="280"/>
      <c r="AZ67" s="280"/>
      <c r="BA67" s="280"/>
      <c r="BB67" s="280"/>
      <c r="BC67" s="280"/>
      <c r="BD67" s="280"/>
      <c r="BE67" s="280"/>
      <c r="BF67" s="280"/>
      <c r="BG67" s="280"/>
      <c r="BH67" s="280"/>
      <c r="BI67" s="280"/>
      <c r="BJ67" s="280"/>
    </row>
    <row r="68" spans="2:63" ht="15.9" customHeight="1" x14ac:dyDescent="0.3">
      <c r="B68" s="1"/>
      <c r="C68" s="684" t="s">
        <v>65</v>
      </c>
      <c r="D68" s="684"/>
      <c r="E68" s="684"/>
      <c r="F68" s="684"/>
      <c r="G68" s="684"/>
      <c r="H68" s="684"/>
      <c r="I68" s="684"/>
      <c r="J68" s="557" t="s">
        <v>66</v>
      </c>
      <c r="K68" s="557"/>
      <c r="L68" s="557"/>
      <c r="M68" s="557"/>
      <c r="N68" s="557"/>
      <c r="O68" s="557"/>
      <c r="P68" s="557"/>
      <c r="Q68" s="557"/>
      <c r="R68" s="557"/>
      <c r="S68" s="690"/>
      <c r="T68" s="690"/>
      <c r="U68" s="690"/>
      <c r="V68" s="690"/>
      <c r="W68" s="690"/>
      <c r="X68" s="690"/>
      <c r="Y68" s="690"/>
      <c r="Z68" s="690"/>
      <c r="AA68" s="690"/>
      <c r="AB68" s="690"/>
      <c r="AC68" s="690"/>
      <c r="AD68" s="690"/>
      <c r="AE68" s="690"/>
      <c r="AF68" s="690"/>
      <c r="AG68" s="690"/>
      <c r="AH68" s="690"/>
      <c r="AI68" s="696" t="s">
        <v>67</v>
      </c>
      <c r="AJ68" s="696"/>
      <c r="AK68" s="696"/>
      <c r="AL68" s="696"/>
      <c r="AM68" s="696"/>
      <c r="AN68" s="696"/>
      <c r="AO68" s="696"/>
      <c r="AP68" s="696"/>
      <c r="AQ68" s="696"/>
      <c r="AR68" s="696"/>
      <c r="AS68" s="696"/>
      <c r="AT68" s="696"/>
      <c r="AU68" s="696"/>
      <c r="AV68" s="671"/>
      <c r="AW68" s="671"/>
      <c r="AX68" s="671"/>
      <c r="AY68" s="671"/>
      <c r="AZ68" s="671"/>
      <c r="BA68" s="671"/>
      <c r="BB68" s="671"/>
      <c r="BC68" s="671"/>
      <c r="BD68" s="671"/>
      <c r="BE68" s="671"/>
      <c r="BF68" s="671"/>
      <c r="BG68" s="671"/>
      <c r="BH68" s="671"/>
      <c r="BI68" s="671"/>
      <c r="BJ68" s="671"/>
      <c r="BK68" s="1"/>
    </row>
    <row r="69" spans="2:63" ht="4.5" customHeight="1" x14ac:dyDescent="0.3"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80"/>
      <c r="AI69" s="280"/>
      <c r="AJ69" s="280"/>
      <c r="AK69" s="280"/>
      <c r="AL69" s="280"/>
      <c r="AM69" s="280"/>
      <c r="AN69" s="280"/>
      <c r="AO69" s="280"/>
      <c r="AP69" s="280"/>
      <c r="AQ69" s="280"/>
      <c r="AR69" s="280"/>
      <c r="AS69" s="280"/>
      <c r="AT69" s="280"/>
      <c r="AU69" s="280"/>
      <c r="AV69" s="280"/>
      <c r="AW69" s="280"/>
      <c r="AX69" s="280"/>
      <c r="AY69" s="280"/>
      <c r="AZ69" s="280"/>
      <c r="BA69" s="280"/>
      <c r="BB69" s="280"/>
      <c r="BC69" s="280"/>
      <c r="BD69" s="280"/>
      <c r="BE69" s="280"/>
      <c r="BF69" s="280"/>
      <c r="BG69" s="280"/>
      <c r="BH69" s="280"/>
      <c r="BI69" s="280"/>
      <c r="BJ69" s="280"/>
    </row>
    <row r="70" spans="2:63" ht="15.9" customHeight="1" x14ac:dyDescent="0.3">
      <c r="B70" s="1"/>
      <c r="C70" s="687" t="s">
        <v>68</v>
      </c>
      <c r="D70" s="688"/>
      <c r="E70" s="688"/>
      <c r="F70" s="688"/>
      <c r="G70" s="688"/>
      <c r="H70" s="688"/>
      <c r="I70" s="688"/>
      <c r="J70" s="688"/>
      <c r="K70" s="688"/>
      <c r="L70" s="688"/>
      <c r="M70" s="688"/>
      <c r="N70" s="688"/>
      <c r="O70" s="688"/>
      <c r="P70" s="688"/>
      <c r="Q70" s="688"/>
      <c r="R70" s="689"/>
      <c r="S70" s="691"/>
      <c r="T70" s="692"/>
      <c r="U70" s="692"/>
      <c r="V70" s="692"/>
      <c r="W70" s="692"/>
      <c r="X70" s="692"/>
      <c r="Y70" s="692"/>
      <c r="Z70" s="692"/>
      <c r="AA70" s="692"/>
      <c r="AB70" s="692"/>
      <c r="AC70" s="692"/>
      <c r="AD70" s="692"/>
      <c r="AE70" s="692"/>
      <c r="AF70" s="692"/>
      <c r="AG70" s="692"/>
      <c r="AH70" s="693"/>
      <c r="AI70" s="694" t="s">
        <v>69</v>
      </c>
      <c r="AJ70" s="695"/>
      <c r="AK70" s="695"/>
      <c r="AL70" s="695"/>
      <c r="AM70" s="695"/>
      <c r="AN70" s="695"/>
      <c r="AO70" s="695"/>
      <c r="AP70" s="695"/>
      <c r="AQ70" s="695"/>
      <c r="AR70" s="695"/>
      <c r="AS70" s="695"/>
      <c r="AT70" s="695"/>
      <c r="AU70" s="695"/>
      <c r="AV70" s="554"/>
      <c r="AW70" s="555"/>
      <c r="AX70" s="555"/>
      <c r="AY70" s="555"/>
      <c r="AZ70" s="555"/>
      <c r="BA70" s="555"/>
      <c r="BB70" s="555"/>
      <c r="BC70" s="555"/>
      <c r="BD70" s="555"/>
      <c r="BE70" s="555"/>
      <c r="BF70" s="555"/>
      <c r="BG70" s="555"/>
      <c r="BH70" s="555"/>
      <c r="BI70" s="555"/>
      <c r="BJ70" s="556"/>
      <c r="BK70" s="1"/>
    </row>
    <row r="71" spans="2:63" ht="3" customHeight="1" x14ac:dyDescent="0.3"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80"/>
      <c r="AI71" s="280"/>
      <c r="AJ71" s="280"/>
      <c r="AK71" s="280"/>
      <c r="AL71" s="280"/>
      <c r="AM71" s="280"/>
      <c r="AN71" s="280"/>
      <c r="AO71" s="280"/>
      <c r="AP71" s="280"/>
      <c r="AQ71" s="280"/>
      <c r="AR71" s="280"/>
      <c r="AS71" s="280"/>
      <c r="AT71" s="280"/>
      <c r="AU71" s="280"/>
      <c r="AV71" s="280"/>
      <c r="AW71" s="280"/>
      <c r="AX71" s="280"/>
      <c r="AY71" s="280"/>
      <c r="AZ71" s="280"/>
      <c r="BA71" s="280"/>
      <c r="BB71" s="280"/>
      <c r="BC71" s="280"/>
      <c r="BD71" s="280"/>
      <c r="BE71" s="280"/>
      <c r="BF71" s="280"/>
      <c r="BG71" s="280"/>
      <c r="BH71" s="280"/>
      <c r="BI71" s="280"/>
      <c r="BJ71" s="280"/>
    </row>
    <row r="72" spans="2:63" ht="33.75" customHeight="1" x14ac:dyDescent="0.3">
      <c r="C72" s="678" t="s">
        <v>70</v>
      </c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/>
      <c r="P72" s="679"/>
      <c r="Q72" s="679"/>
      <c r="R72" s="679"/>
      <c r="S72" s="679"/>
      <c r="T72" s="679"/>
      <c r="U72" s="679"/>
      <c r="V72" s="679"/>
      <c r="W72" s="679"/>
      <c r="X72" s="679"/>
      <c r="Y72" s="679"/>
      <c r="Z72" s="679"/>
      <c r="AA72" s="679"/>
      <c r="AB72" s="679"/>
      <c r="AC72" s="679"/>
      <c r="AD72" s="679"/>
      <c r="AE72" s="679"/>
      <c r="AF72" s="679"/>
      <c r="AG72" s="679"/>
      <c r="AH72" s="679"/>
      <c r="AI72" s="679"/>
      <c r="AJ72" s="679"/>
      <c r="AK72" s="679"/>
      <c r="AL72" s="679"/>
      <c r="AM72" s="679"/>
      <c r="AN72" s="679"/>
      <c r="AO72" s="679"/>
      <c r="AP72" s="679"/>
      <c r="AQ72" s="679"/>
      <c r="AR72" s="679"/>
      <c r="AS72" s="679"/>
      <c r="AT72" s="679"/>
      <c r="AU72" s="679"/>
      <c r="AV72" s="679"/>
      <c r="AW72" s="679"/>
      <c r="AX72" s="679"/>
      <c r="AY72" s="679"/>
      <c r="AZ72" s="679"/>
      <c r="BA72" s="679"/>
      <c r="BB72" s="679"/>
      <c r="BC72" s="679"/>
      <c r="BD72" s="679"/>
      <c r="BE72" s="679"/>
      <c r="BF72" s="680"/>
      <c r="BG72" s="418"/>
      <c r="BH72" s="419"/>
      <c r="BI72" s="420"/>
      <c r="BJ72" s="343"/>
    </row>
    <row r="73" spans="2:63" ht="27.75" customHeight="1" x14ac:dyDescent="0.3">
      <c r="C73" s="678" t="s">
        <v>71</v>
      </c>
      <c r="D73" s="679"/>
      <c r="E73" s="679"/>
      <c r="F73" s="679"/>
      <c r="G73" s="679"/>
      <c r="H73" s="679"/>
      <c r="I73" s="679"/>
      <c r="J73" s="679"/>
      <c r="K73" s="679"/>
      <c r="L73" s="679"/>
      <c r="M73" s="679"/>
      <c r="N73" s="679"/>
      <c r="O73" s="679"/>
      <c r="P73" s="679"/>
      <c r="Q73" s="679"/>
      <c r="R73" s="679"/>
      <c r="S73" s="679"/>
      <c r="T73" s="679"/>
      <c r="U73" s="679"/>
      <c r="V73" s="679"/>
      <c r="W73" s="679"/>
      <c r="X73" s="679"/>
      <c r="Y73" s="679"/>
      <c r="Z73" s="679"/>
      <c r="AA73" s="679"/>
      <c r="AB73" s="679"/>
      <c r="AC73" s="679"/>
      <c r="AD73" s="679"/>
      <c r="AE73" s="679"/>
      <c r="AF73" s="679"/>
      <c r="AG73" s="679"/>
      <c r="AH73" s="679"/>
      <c r="AI73" s="679"/>
      <c r="AJ73" s="679"/>
      <c r="AK73" s="679"/>
      <c r="AL73" s="679"/>
      <c r="AM73" s="679"/>
      <c r="AN73" s="679"/>
      <c r="AO73" s="679"/>
      <c r="AP73" s="679"/>
      <c r="AQ73" s="679"/>
      <c r="AR73" s="679"/>
      <c r="AS73" s="679"/>
      <c r="AT73" s="679"/>
      <c r="AU73" s="679"/>
      <c r="AV73" s="679"/>
      <c r="AW73" s="679"/>
      <c r="AX73" s="679"/>
      <c r="AY73" s="679"/>
      <c r="AZ73" s="679"/>
      <c r="BA73" s="679"/>
      <c r="BB73" s="679"/>
      <c r="BC73" s="679"/>
      <c r="BD73" s="679"/>
      <c r="BE73" s="679"/>
      <c r="BF73" s="680"/>
      <c r="BG73" s="418"/>
      <c r="BH73" s="419"/>
      <c r="BI73" s="420"/>
      <c r="BJ73" s="131"/>
    </row>
    <row r="74" spans="2:63" ht="30.75" customHeight="1" x14ac:dyDescent="0.3">
      <c r="B74" s="1"/>
      <c r="C74" s="681" t="str">
        <f>IF(OR(BG72="Sim",BG73="Sim"),"RT deverá providenciar documentos referente a autorização ambiental e anexar junto ao o pedido de solicitação de orçamento!","")</f>
        <v/>
      </c>
      <c r="D74" s="682"/>
      <c r="E74" s="682"/>
      <c r="F74" s="682"/>
      <c r="G74" s="682"/>
      <c r="H74" s="682"/>
      <c r="I74" s="682"/>
      <c r="J74" s="682"/>
      <c r="K74" s="682"/>
      <c r="L74" s="682"/>
      <c r="M74" s="682"/>
      <c r="N74" s="682"/>
      <c r="O74" s="682"/>
      <c r="P74" s="682"/>
      <c r="Q74" s="682"/>
      <c r="R74" s="682"/>
      <c r="S74" s="682"/>
      <c r="T74" s="682"/>
      <c r="U74" s="682"/>
      <c r="V74" s="682"/>
      <c r="W74" s="682"/>
      <c r="X74" s="682"/>
      <c r="Y74" s="682"/>
      <c r="Z74" s="682"/>
      <c r="AA74" s="682"/>
      <c r="AB74" s="682"/>
      <c r="AC74" s="682"/>
      <c r="AD74" s="682"/>
      <c r="AE74" s="682"/>
      <c r="AF74" s="682"/>
      <c r="AG74" s="682"/>
      <c r="AH74" s="682"/>
      <c r="AI74" s="682"/>
      <c r="AJ74" s="682"/>
      <c r="AK74" s="682"/>
      <c r="AL74" s="682"/>
      <c r="AM74" s="682"/>
      <c r="AN74" s="682"/>
      <c r="AO74" s="682"/>
      <c r="AP74" s="682"/>
      <c r="AQ74" s="682"/>
      <c r="AR74" s="682"/>
      <c r="AS74" s="682"/>
      <c r="AT74" s="682"/>
      <c r="AU74" s="682"/>
      <c r="AV74" s="682"/>
      <c r="AW74" s="682"/>
      <c r="AX74" s="682"/>
      <c r="AY74" s="682"/>
      <c r="AZ74" s="682"/>
      <c r="BA74" s="682"/>
      <c r="BB74" s="682"/>
      <c r="BC74" s="682"/>
      <c r="BD74" s="682"/>
      <c r="BE74" s="682"/>
      <c r="BF74" s="682"/>
      <c r="BG74" s="682"/>
      <c r="BH74" s="682"/>
      <c r="BI74" s="682"/>
      <c r="BJ74" s="683"/>
      <c r="BK74" s="1"/>
    </row>
    <row r="75" spans="2:63" ht="41.25" customHeight="1" x14ac:dyDescent="0.3">
      <c r="C75" s="678" t="s">
        <v>72</v>
      </c>
      <c r="D75" s="679"/>
      <c r="E75" s="679"/>
      <c r="F75" s="679"/>
      <c r="G75" s="679"/>
      <c r="H75" s="679"/>
      <c r="I75" s="679"/>
      <c r="J75" s="679"/>
      <c r="K75" s="679"/>
      <c r="L75" s="679"/>
      <c r="M75" s="679"/>
      <c r="N75" s="679"/>
      <c r="O75" s="679"/>
      <c r="P75" s="679"/>
      <c r="Q75" s="679"/>
      <c r="R75" s="679"/>
      <c r="S75" s="679"/>
      <c r="T75" s="679"/>
      <c r="U75" s="679"/>
      <c r="V75" s="679"/>
      <c r="W75" s="679"/>
      <c r="X75" s="679"/>
      <c r="Y75" s="679"/>
      <c r="Z75" s="679"/>
      <c r="AA75" s="679"/>
      <c r="AB75" s="679"/>
      <c r="AC75" s="679"/>
      <c r="AD75" s="679"/>
      <c r="AE75" s="679"/>
      <c r="AF75" s="679"/>
      <c r="AG75" s="679"/>
      <c r="AH75" s="679"/>
      <c r="AI75" s="679"/>
      <c r="AJ75" s="679"/>
      <c r="AK75" s="679"/>
      <c r="AL75" s="679"/>
      <c r="AM75" s="679"/>
      <c r="AN75" s="679"/>
      <c r="AO75" s="679"/>
      <c r="AP75" s="679"/>
      <c r="AQ75" s="679"/>
      <c r="AR75" s="679"/>
      <c r="AS75" s="679"/>
      <c r="AT75" s="679"/>
      <c r="AU75" s="679"/>
      <c r="AV75" s="679"/>
      <c r="AW75" s="679"/>
      <c r="AX75" s="679"/>
      <c r="AY75" s="679"/>
      <c r="AZ75" s="679"/>
      <c r="BA75" s="679"/>
      <c r="BB75" s="679"/>
      <c r="BC75" s="679"/>
      <c r="BD75" s="679"/>
      <c r="BE75" s="679"/>
      <c r="BF75" s="679"/>
      <c r="BG75" s="679"/>
      <c r="BH75" s="679"/>
      <c r="BI75" s="679"/>
      <c r="BJ75" s="680"/>
    </row>
    <row r="76" spans="2:63" ht="49.5" customHeight="1" x14ac:dyDescent="0.3">
      <c r="C76" s="678" t="s">
        <v>73</v>
      </c>
      <c r="D76" s="679"/>
      <c r="E76" s="679"/>
      <c r="F76" s="679"/>
      <c r="G76" s="679"/>
      <c r="H76" s="679"/>
      <c r="I76" s="679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679"/>
      <c r="V76" s="679"/>
      <c r="W76" s="679"/>
      <c r="X76" s="679"/>
      <c r="Y76" s="679"/>
      <c r="Z76" s="679"/>
      <c r="AA76" s="679"/>
      <c r="AB76" s="679"/>
      <c r="AC76" s="679"/>
      <c r="AD76" s="679"/>
      <c r="AE76" s="679"/>
      <c r="AF76" s="679"/>
      <c r="AG76" s="679"/>
      <c r="AH76" s="679"/>
      <c r="AI76" s="679"/>
      <c r="AJ76" s="679"/>
      <c r="AK76" s="679"/>
      <c r="AL76" s="679"/>
      <c r="AM76" s="679"/>
      <c r="AN76" s="679"/>
      <c r="AO76" s="679"/>
      <c r="AP76" s="679"/>
      <c r="AQ76" s="679"/>
      <c r="AR76" s="679"/>
      <c r="AS76" s="679"/>
      <c r="AT76" s="679"/>
      <c r="AU76" s="679"/>
      <c r="AV76" s="679"/>
      <c r="AW76" s="679"/>
      <c r="AX76" s="679"/>
      <c r="AY76" s="679"/>
      <c r="AZ76" s="679"/>
      <c r="BA76" s="679"/>
      <c r="BB76" s="679"/>
      <c r="BC76" s="679"/>
      <c r="BD76" s="679"/>
      <c r="BE76" s="679"/>
      <c r="BF76" s="679"/>
      <c r="BG76" s="679"/>
      <c r="BH76" s="679"/>
      <c r="BI76" s="679"/>
      <c r="BJ76" s="680"/>
    </row>
    <row r="77" spans="2:63" ht="52.5" customHeight="1" x14ac:dyDescent="0.3">
      <c r="C77" s="678" t="s">
        <v>74</v>
      </c>
      <c r="D77" s="679"/>
      <c r="E77" s="679"/>
      <c r="F77" s="679"/>
      <c r="G77" s="679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679"/>
      <c r="V77" s="679"/>
      <c r="W77" s="679"/>
      <c r="X77" s="679"/>
      <c r="Y77" s="679"/>
      <c r="Z77" s="679"/>
      <c r="AA77" s="679"/>
      <c r="AB77" s="679"/>
      <c r="AC77" s="679"/>
      <c r="AD77" s="679"/>
      <c r="AE77" s="679"/>
      <c r="AF77" s="679"/>
      <c r="AG77" s="679"/>
      <c r="AH77" s="679"/>
      <c r="AI77" s="679"/>
      <c r="AJ77" s="679"/>
      <c r="AK77" s="679"/>
      <c r="AL77" s="679"/>
      <c r="AM77" s="679"/>
      <c r="AN77" s="679"/>
      <c r="AO77" s="679"/>
      <c r="AP77" s="679"/>
      <c r="AQ77" s="679"/>
      <c r="AR77" s="679"/>
      <c r="AS77" s="679"/>
      <c r="AT77" s="679"/>
      <c r="AU77" s="679"/>
      <c r="AV77" s="679"/>
      <c r="AW77" s="679"/>
      <c r="AX77" s="679"/>
      <c r="AY77" s="679"/>
      <c r="AZ77" s="679"/>
      <c r="BA77" s="679"/>
      <c r="BB77" s="679"/>
      <c r="BC77" s="679"/>
      <c r="BD77" s="679"/>
      <c r="BE77" s="679"/>
      <c r="BF77" s="679"/>
      <c r="BG77" s="679"/>
      <c r="BH77" s="679"/>
      <c r="BI77" s="679"/>
      <c r="BJ77" s="680"/>
    </row>
    <row r="78" spans="2:63" ht="88.5" customHeight="1" x14ac:dyDescent="0.3">
      <c r="C78" s="706" t="str">
        <f>IF(CALCULOS!D101=0,"",CONCATENATE(CALCULOS!E101,CALCULOS!F101))</f>
        <v>IMPORTANTE:Conforme disposto no § 7º da Resolução Normativa ANEEL nº 1.000/2021, o acesso ao benefício tarifário para atividades de irrigação e aquicultura está condicionado à comprovação, por parte do consumidor, da existência de licenciamento ambiental e da outorga para uso de recursos hídricos, quando exigidos pela legislação federal, estadual, distrital ou municipal. 
Essa exigência está prevista nos artigos 22 e 23 da Lei nº 12.787, de 11 de janeiro de 2013.
Portanto, é imprescindível anexar documentação que comprove o atendimento a esses requisitos legais.</v>
      </c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  <c r="W78" s="707"/>
      <c r="X78" s="707"/>
      <c r="Y78" s="707"/>
      <c r="Z78" s="707"/>
      <c r="AA78" s="707"/>
      <c r="AB78" s="707"/>
      <c r="AC78" s="707"/>
      <c r="AD78" s="707"/>
      <c r="AE78" s="707"/>
      <c r="AF78" s="707"/>
      <c r="AG78" s="707"/>
      <c r="AH78" s="707"/>
      <c r="AI78" s="707"/>
      <c r="AJ78" s="707"/>
      <c r="AK78" s="707"/>
      <c r="AL78" s="707"/>
      <c r="AM78" s="707"/>
      <c r="AN78" s="707"/>
      <c r="AO78" s="707"/>
      <c r="AP78" s="707"/>
      <c r="AQ78" s="707"/>
      <c r="AR78" s="707"/>
      <c r="AS78" s="707"/>
      <c r="AT78" s="707"/>
      <c r="AU78" s="707"/>
      <c r="AV78" s="707"/>
      <c r="AW78" s="707"/>
      <c r="AX78" s="707"/>
      <c r="AY78" s="707"/>
      <c r="AZ78" s="707"/>
      <c r="BA78" s="707"/>
      <c r="BB78" s="707"/>
      <c r="BC78" s="707"/>
      <c r="BD78" s="707"/>
      <c r="BE78" s="707"/>
      <c r="BF78" s="707"/>
      <c r="BG78" s="707"/>
      <c r="BH78" s="707"/>
      <c r="BI78" s="707"/>
      <c r="BJ78" s="708"/>
    </row>
    <row r="79" spans="2:63" ht="3" customHeight="1" x14ac:dyDescent="0.3"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80"/>
      <c r="AI79" s="280"/>
      <c r="AJ79" s="280"/>
      <c r="AK79" s="280"/>
      <c r="AL79" s="280"/>
      <c r="AM79" s="280"/>
      <c r="AN79" s="280"/>
      <c r="AO79" s="280"/>
      <c r="AP79" s="280"/>
      <c r="AQ79" s="280"/>
      <c r="AR79" s="280"/>
      <c r="AS79" s="280"/>
      <c r="AT79" s="280"/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0"/>
      <c r="BH79" s="280"/>
      <c r="BI79" s="280"/>
      <c r="BJ79" s="280"/>
    </row>
    <row r="80" spans="2:63" ht="20.25" customHeight="1" x14ac:dyDescent="0.3">
      <c r="B80" s="38"/>
      <c r="C80" s="675" t="s">
        <v>75</v>
      </c>
      <c r="D80" s="676"/>
      <c r="E80" s="676"/>
      <c r="F80" s="676"/>
      <c r="G80" s="676"/>
      <c r="H80" s="676"/>
      <c r="I80" s="676"/>
      <c r="J80" s="676"/>
      <c r="K80" s="676"/>
      <c r="L80" s="676"/>
      <c r="M80" s="676"/>
      <c r="N80" s="676"/>
      <c r="O80" s="676"/>
      <c r="P80" s="676"/>
      <c r="Q80" s="676"/>
      <c r="R80" s="677"/>
      <c r="S80" s="685"/>
      <c r="T80" s="686"/>
      <c r="U80" s="686"/>
      <c r="V80" s="344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345"/>
      <c r="AO80" s="345"/>
      <c r="AP80" s="345"/>
      <c r="AQ80" s="345"/>
      <c r="AR80" s="345"/>
      <c r="AS80" s="345"/>
      <c r="AT80" s="345"/>
      <c r="AU80" s="345"/>
      <c r="AV80" s="345"/>
      <c r="AW80" s="345"/>
      <c r="AX80" s="345"/>
      <c r="AY80" s="345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6"/>
      <c r="BK80" s="38"/>
    </row>
    <row r="81" spans="2:63" ht="20.25" customHeight="1" x14ac:dyDescent="0.3">
      <c r="C81" s="729" t="str">
        <f>IF(S80="Sim","O pedido de vistoria e ligação será disparado automaticamente após conclusão das etapas do orçamento de conexão.",
IF(S80="Não","Você deve solicitar seu pedido de vistoria e ligação em até 120 dias após a conclusão das etapas do orçamento de conexão. ",""))</f>
        <v/>
      </c>
      <c r="D81" s="730"/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  <c r="AA81" s="730"/>
      <c r="AB81" s="730"/>
      <c r="AC81" s="730"/>
      <c r="AD81" s="730"/>
      <c r="AE81" s="730"/>
      <c r="AF81" s="730"/>
      <c r="AG81" s="730"/>
      <c r="AH81" s="730"/>
      <c r="AI81" s="730"/>
      <c r="AJ81" s="730"/>
      <c r="AK81" s="730"/>
      <c r="AL81" s="730"/>
      <c r="AM81" s="730"/>
      <c r="AN81" s="730"/>
      <c r="AO81" s="730"/>
      <c r="AP81" s="730"/>
      <c r="AQ81" s="730"/>
      <c r="AR81" s="730"/>
      <c r="AS81" s="730"/>
      <c r="AT81" s="730"/>
      <c r="AU81" s="730"/>
      <c r="AV81" s="730"/>
      <c r="AW81" s="730"/>
      <c r="AX81" s="730"/>
      <c r="AY81" s="730"/>
      <c r="AZ81" s="730"/>
      <c r="BA81" s="730"/>
      <c r="BB81" s="730"/>
      <c r="BC81" s="730"/>
      <c r="BD81" s="730"/>
      <c r="BE81" s="730"/>
      <c r="BF81" s="730"/>
      <c r="BG81" s="730"/>
      <c r="BH81" s="730"/>
      <c r="BI81" s="730"/>
      <c r="BJ81" s="731"/>
      <c r="BK81" s="347"/>
    </row>
    <row r="82" spans="2:63" ht="3" customHeight="1" x14ac:dyDescent="0.3">
      <c r="B82" s="1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</row>
    <row r="83" spans="2:63" ht="15.6" x14ac:dyDescent="0.3">
      <c r="B83" s="1"/>
      <c r="C83" s="735" t="s">
        <v>76</v>
      </c>
      <c r="D83" s="735"/>
      <c r="E83" s="735"/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735"/>
      <c r="T83" s="735"/>
      <c r="U83" s="735"/>
      <c r="V83" s="735"/>
      <c r="W83" s="735"/>
      <c r="X83" s="735"/>
      <c r="Y83" s="735"/>
      <c r="Z83" s="735"/>
      <c r="AA83" s="735"/>
      <c r="AB83" s="735"/>
      <c r="AC83" s="735"/>
      <c r="AD83" s="735"/>
      <c r="AE83" s="735"/>
      <c r="AF83" s="735"/>
      <c r="AG83" s="735"/>
      <c r="AH83" s="735"/>
      <c r="AI83" s="735"/>
      <c r="AJ83" s="735"/>
      <c r="AK83" s="735"/>
      <c r="AL83" s="735"/>
      <c r="AM83" s="735"/>
      <c r="AN83" s="735"/>
      <c r="AO83" s="735"/>
      <c r="AP83" s="735"/>
      <c r="AQ83" s="735"/>
      <c r="AR83" s="735"/>
      <c r="AS83" s="735"/>
      <c r="AT83" s="735"/>
      <c r="AU83" s="735"/>
      <c r="AV83" s="735"/>
      <c r="AW83" s="735"/>
      <c r="AX83" s="735"/>
      <c r="AY83" s="735"/>
      <c r="AZ83" s="735"/>
      <c r="BA83" s="735"/>
      <c r="BB83" s="735"/>
      <c r="BC83" s="735"/>
      <c r="BD83" s="735"/>
      <c r="BE83" s="735"/>
      <c r="BF83" s="735"/>
      <c r="BG83" s="735"/>
      <c r="BH83" s="735"/>
      <c r="BI83" s="735"/>
      <c r="BJ83" s="735"/>
      <c r="BK83" s="83"/>
    </row>
    <row r="84" spans="2:63" ht="4.5" customHeight="1" x14ac:dyDescent="0.3"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  <c r="AA84" s="363"/>
      <c r="AB84" s="363"/>
      <c r="AC84" s="363"/>
      <c r="AD84" s="363"/>
      <c r="AE84" s="363"/>
      <c r="AF84" s="363"/>
      <c r="AG84" s="363"/>
      <c r="AH84" s="363"/>
      <c r="AI84" s="363"/>
      <c r="AJ84" s="363"/>
      <c r="AK84" s="363"/>
      <c r="AL84" s="363"/>
      <c r="AM84" s="363"/>
      <c r="AN84" s="363"/>
      <c r="AO84" s="363"/>
      <c r="AP84" s="363"/>
      <c r="AQ84" s="363"/>
      <c r="AR84" s="363"/>
      <c r="AS84" s="363"/>
      <c r="AT84" s="363"/>
      <c r="AU84" s="363"/>
      <c r="AV84" s="363"/>
      <c r="AW84" s="363"/>
      <c r="AX84" s="363"/>
      <c r="AY84" s="363"/>
      <c r="AZ84" s="363"/>
      <c r="BA84" s="363"/>
      <c r="BB84" s="363"/>
      <c r="BC84" s="363"/>
      <c r="BD84" s="363"/>
      <c r="BE84" s="363"/>
      <c r="BF84" s="363"/>
      <c r="BG84" s="363"/>
      <c r="BH84" s="363"/>
      <c r="BI84" s="363"/>
      <c r="BJ84" s="363"/>
    </row>
    <row r="85" spans="2:63" ht="16.2" customHeight="1" x14ac:dyDescent="0.3">
      <c r="B85" s="1"/>
      <c r="C85" s="713" t="s">
        <v>78</v>
      </c>
      <c r="D85" s="714"/>
      <c r="E85" s="714"/>
      <c r="F85" s="714"/>
      <c r="G85" s="714"/>
      <c r="H85" s="714"/>
      <c r="I85" s="714"/>
      <c r="J85" s="714"/>
      <c r="K85" s="714"/>
      <c r="L85" s="714"/>
      <c r="M85" s="714"/>
      <c r="N85" s="714"/>
      <c r="O85" s="714"/>
      <c r="P85" s="714"/>
      <c r="Q85" s="714"/>
      <c r="R85" s="715"/>
      <c r="S85" s="718"/>
      <c r="T85" s="719"/>
      <c r="U85" s="719"/>
      <c r="V85" s="719"/>
      <c r="W85" s="719"/>
      <c r="X85" s="720"/>
      <c r="Y85" s="738" t="s">
        <v>77</v>
      </c>
      <c r="Z85" s="739"/>
      <c r="AA85" s="739"/>
      <c r="AB85" s="739"/>
      <c r="AC85" s="739"/>
      <c r="AD85" s="739"/>
      <c r="AE85" s="739"/>
      <c r="AF85" s="739"/>
      <c r="AG85" s="739"/>
      <c r="AH85" s="739"/>
      <c r="AI85" s="739"/>
      <c r="AJ85" s="739"/>
      <c r="AK85" s="739"/>
      <c r="AL85" s="739"/>
      <c r="AM85" s="739"/>
      <c r="AN85" s="739"/>
      <c r="AO85" s="739"/>
      <c r="AP85" s="739"/>
      <c r="AQ85" s="739"/>
      <c r="AR85" s="739"/>
      <c r="AS85" s="740"/>
      <c r="AT85" s="736"/>
      <c r="AU85" s="737"/>
      <c r="AV85" s="737"/>
      <c r="AW85" s="737"/>
      <c r="AX85" s="737"/>
      <c r="AY85" s="744" t="str">
        <f>IF(AT85="Sim","Demanda total","")</f>
        <v/>
      </c>
      <c r="AZ85" s="744"/>
      <c r="BA85" s="744"/>
      <c r="BB85" s="744"/>
      <c r="BC85" s="744"/>
      <c r="BD85" s="744"/>
      <c r="BE85" s="745"/>
      <c r="BF85" s="745"/>
      <c r="BG85" s="745"/>
      <c r="BH85" s="745"/>
      <c r="BI85" s="745"/>
      <c r="BJ85" s="745"/>
    </row>
    <row r="86" spans="2:63" ht="5.25" customHeight="1" x14ac:dyDescent="0.3"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</row>
    <row r="87" spans="2:63" ht="35.25" customHeight="1" x14ac:dyDescent="0.3">
      <c r="B87" s="1"/>
      <c r="C87" s="732" t="str">
        <f>IF(AT85="Não","","Quantos cubículos?")</f>
        <v>Quantos cubículos?</v>
      </c>
      <c r="D87" s="733"/>
      <c r="E87" s="733"/>
      <c r="F87" s="733"/>
      <c r="G87" s="733"/>
      <c r="H87" s="733"/>
      <c r="I87" s="733"/>
      <c r="J87" s="733"/>
      <c r="K87" s="733"/>
      <c r="L87" s="733"/>
      <c r="M87" s="734"/>
      <c r="N87" s="727"/>
      <c r="O87" s="727"/>
      <c r="P87" s="728"/>
      <c r="Q87" s="741" t="str">
        <f>IF(AT85="Não","","Preencher informações referente a solicitação do cubículo principal abaixo e dos demais cúbiculos na aba ANEXO I- Unidades_Adicionais")</f>
        <v>Preencher informações referente a solicitação do cubículo principal abaixo e dos demais cúbiculos na aba ANEXO I- Unidades_Adicionais</v>
      </c>
      <c r="R87" s="742"/>
      <c r="S87" s="742"/>
      <c r="T87" s="742"/>
      <c r="U87" s="742"/>
      <c r="V87" s="742"/>
      <c r="W87" s="742"/>
      <c r="X87" s="742"/>
      <c r="Y87" s="742"/>
      <c r="Z87" s="742"/>
      <c r="AA87" s="742"/>
      <c r="AB87" s="742"/>
      <c r="AC87" s="742"/>
      <c r="AD87" s="742"/>
      <c r="AE87" s="742"/>
      <c r="AF87" s="742"/>
      <c r="AG87" s="742"/>
      <c r="AH87" s="742"/>
      <c r="AI87" s="742"/>
      <c r="AJ87" s="742"/>
      <c r="AK87" s="742"/>
      <c r="AL87" s="742"/>
      <c r="AM87" s="742"/>
      <c r="AN87" s="742"/>
      <c r="AO87" s="742"/>
      <c r="AP87" s="742"/>
      <c r="AQ87" s="742"/>
      <c r="AR87" s="742"/>
      <c r="AS87" s="742"/>
      <c r="AT87" s="742"/>
      <c r="AU87" s="742"/>
      <c r="AV87" s="742"/>
      <c r="AW87" s="742"/>
      <c r="AX87" s="742"/>
      <c r="AY87" s="742"/>
      <c r="AZ87" s="742"/>
      <c r="BA87" s="742"/>
      <c r="BB87" s="742"/>
      <c r="BC87" s="742"/>
      <c r="BD87" s="742"/>
      <c r="BE87" s="742"/>
      <c r="BF87" s="742"/>
      <c r="BG87" s="742"/>
      <c r="BH87" s="742"/>
      <c r="BI87" s="742"/>
      <c r="BJ87" s="743"/>
      <c r="BK87" s="83"/>
    </row>
    <row r="88" spans="2:63" ht="3.75" customHeight="1" x14ac:dyDescent="0.3">
      <c r="B88" s="1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6"/>
      <c r="AU88" s="366"/>
      <c r="AV88" s="366"/>
      <c r="AW88" s="366"/>
      <c r="AX88" s="366"/>
      <c r="AY88" s="366"/>
      <c r="AZ88" s="366"/>
      <c r="BA88" s="366"/>
      <c r="BB88" s="366"/>
      <c r="BC88" s="366"/>
      <c r="BD88" s="366"/>
      <c r="BE88" s="366"/>
      <c r="BF88" s="366"/>
      <c r="BG88" s="366"/>
      <c r="BH88" s="366"/>
      <c r="BI88" s="366"/>
      <c r="BJ88" s="366"/>
      <c r="BK88" s="83"/>
    </row>
    <row r="89" spans="2:63" ht="33.9" customHeight="1" x14ac:dyDescent="0.3">
      <c r="B89" s="1"/>
      <c r="C89" s="395" t="str">
        <f>IF(AT85="Não","","Após a etapa de orçamento e assinatura do contrato de uso do sistema de distribuição (CUSD), deverá ser solicitada a análise de projeto/coordenograma de cada unidade consumidora pertencente a conexão com cabine compartilhada de forma individualizada!")</f>
        <v>Após a etapa de orçamento e assinatura do contrato de uso do sistema de distribuição (CUSD), deverá ser solicitada a análise de projeto/coordenograma de cada unidade consumidora pertencente a conexão com cabine compartilhada de forma individualizada!</v>
      </c>
      <c r="D89" s="395"/>
      <c r="E89" s="395"/>
      <c r="F89" s="395"/>
      <c r="G89" s="395"/>
      <c r="H89" s="395"/>
      <c r="I89" s="395"/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  <c r="AZ89" s="395"/>
      <c r="BA89" s="395"/>
      <c r="BB89" s="395"/>
      <c r="BC89" s="395"/>
      <c r="BD89" s="395"/>
      <c r="BE89" s="395"/>
      <c r="BF89" s="395"/>
      <c r="BG89" s="395"/>
      <c r="BH89" s="395"/>
      <c r="BI89" s="395"/>
      <c r="BJ89" s="395"/>
      <c r="BK89" s="83"/>
    </row>
    <row r="90" spans="2:63" ht="8.25" customHeight="1" x14ac:dyDescent="0.3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2:63" ht="15.6" x14ac:dyDescent="0.3">
      <c r="B91" s="1"/>
      <c r="C91" s="404" t="s">
        <v>79</v>
      </c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721"/>
      <c r="AE91" s="282"/>
      <c r="AF91" s="282"/>
      <c r="AG91" s="282"/>
      <c r="AH91" s="282"/>
      <c r="AI91" s="722" t="s">
        <v>80</v>
      </c>
      <c r="AJ91" s="722"/>
      <c r="AK91" s="722"/>
      <c r="AL91" s="722"/>
      <c r="AM91" s="722"/>
      <c r="AN91" s="722"/>
      <c r="AO91" s="722"/>
      <c r="AP91" s="722"/>
      <c r="AQ91" s="722"/>
      <c r="AR91" s="722"/>
      <c r="AS91" s="722"/>
      <c r="AT91" s="722"/>
      <c r="AU91" s="722"/>
      <c r="AV91" s="722"/>
      <c r="AW91" s="722"/>
      <c r="AX91" s="722"/>
      <c r="AY91" s="722"/>
      <c r="AZ91" s="722"/>
      <c r="BA91" s="722"/>
      <c r="BB91" s="722"/>
      <c r="BC91" s="722"/>
      <c r="BD91" s="722"/>
      <c r="BE91" s="722"/>
      <c r="BF91" s="722"/>
      <c r="BG91" s="722"/>
      <c r="BH91" s="722"/>
      <c r="BI91" s="722"/>
      <c r="BJ91" s="722"/>
      <c r="BK91" s="1"/>
    </row>
    <row r="92" spans="2:63" ht="6.75" customHeight="1" x14ac:dyDescent="0.3"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80"/>
      <c r="AI92" s="283"/>
      <c r="AJ92" s="283"/>
      <c r="AK92" s="283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AY92" s="283"/>
      <c r="AZ92" s="283"/>
      <c r="BA92" s="283"/>
      <c r="BB92" s="283"/>
      <c r="BC92" s="283"/>
      <c r="BD92" s="283"/>
      <c r="BE92" s="283"/>
      <c r="BF92" s="283"/>
      <c r="BG92" s="283"/>
      <c r="BH92" s="283"/>
      <c r="BI92" s="283"/>
      <c r="BJ92" s="283"/>
    </row>
    <row r="93" spans="2:63" ht="36" customHeight="1" x14ac:dyDescent="0.3">
      <c r="B93" s="1"/>
      <c r="C93" s="404" t="s">
        <v>81</v>
      </c>
      <c r="D93" s="405"/>
      <c r="E93" s="405"/>
      <c r="F93" s="405"/>
      <c r="G93" s="405"/>
      <c r="H93" s="710" t="s">
        <v>82</v>
      </c>
      <c r="I93" s="711"/>
      <c r="J93" s="711"/>
      <c r="K93" s="711"/>
      <c r="L93" s="711"/>
      <c r="M93" s="404" t="s">
        <v>83</v>
      </c>
      <c r="N93" s="405"/>
      <c r="O93" s="405"/>
      <c r="P93" s="405"/>
      <c r="Q93" s="405"/>
      <c r="R93" s="710" t="s">
        <v>84</v>
      </c>
      <c r="S93" s="711"/>
      <c r="T93" s="711"/>
      <c r="U93" s="711"/>
      <c r="V93" s="711"/>
      <c r="W93" s="711"/>
      <c r="X93" s="711"/>
      <c r="Y93" s="711"/>
      <c r="Z93" s="711"/>
      <c r="AA93" s="711"/>
      <c r="AB93" s="711"/>
      <c r="AC93" s="711"/>
      <c r="AD93" s="712"/>
      <c r="AE93" s="284"/>
      <c r="AF93" s="284"/>
      <c r="AG93" s="284"/>
      <c r="AH93" s="284"/>
      <c r="AI93" s="660" t="s">
        <v>85</v>
      </c>
      <c r="AJ93" s="660"/>
      <c r="AK93" s="660"/>
      <c r="AL93" s="660"/>
      <c r="AM93" s="660"/>
      <c r="AN93" s="660"/>
      <c r="AO93" s="660"/>
      <c r="AP93" s="660"/>
      <c r="AQ93" s="660"/>
      <c r="AR93" s="660"/>
      <c r="AS93" s="660"/>
      <c r="AT93" s="660"/>
      <c r="AU93" s="660"/>
      <c r="AV93" s="660"/>
      <c r="AW93" s="660"/>
      <c r="AX93" s="660"/>
      <c r="AY93" s="660"/>
      <c r="AZ93" s="660"/>
      <c r="BA93" s="660"/>
      <c r="BB93" s="660"/>
      <c r="BC93" s="660"/>
      <c r="BD93" s="660"/>
      <c r="BE93" s="660"/>
      <c r="BF93" s="660"/>
      <c r="BG93" s="660"/>
      <c r="BH93" s="660"/>
      <c r="BI93" s="660"/>
      <c r="BJ93" s="660"/>
      <c r="BK93" s="1"/>
    </row>
    <row r="94" spans="2:63" ht="20.100000000000001" customHeight="1" x14ac:dyDescent="0.3">
      <c r="B94" s="1"/>
      <c r="C94" s="404" t="s">
        <v>86</v>
      </c>
      <c r="D94" s="405"/>
      <c r="E94" s="405"/>
      <c r="F94" s="405"/>
      <c r="G94" s="405"/>
      <c r="H94" s="401"/>
      <c r="I94" s="402"/>
      <c r="J94" s="402"/>
      <c r="K94" s="402"/>
      <c r="L94" s="403"/>
      <c r="M94" s="716"/>
      <c r="N94" s="717"/>
      <c r="O94" s="717"/>
      <c r="P94" s="717"/>
      <c r="Q94" s="717"/>
      <c r="R94" s="657"/>
      <c r="S94" s="658"/>
      <c r="T94" s="658"/>
      <c r="U94" s="658"/>
      <c r="V94" s="658"/>
      <c r="W94" s="658"/>
      <c r="X94" s="658"/>
      <c r="Y94" s="658"/>
      <c r="Z94" s="658"/>
      <c r="AA94" s="658"/>
      <c r="AB94" s="658"/>
      <c r="AC94" s="658"/>
      <c r="AD94" s="659"/>
      <c r="AE94" s="285"/>
      <c r="AF94" s="285"/>
      <c r="AG94" s="285"/>
      <c r="AH94" s="285"/>
      <c r="AI94" s="660"/>
      <c r="AJ94" s="660"/>
      <c r="AK94" s="660"/>
      <c r="AL94" s="660"/>
      <c r="AM94" s="660"/>
      <c r="AN94" s="660"/>
      <c r="AO94" s="660"/>
      <c r="AP94" s="660"/>
      <c r="AQ94" s="660"/>
      <c r="AR94" s="660"/>
      <c r="AS94" s="660"/>
      <c r="AT94" s="660"/>
      <c r="AU94" s="660"/>
      <c r="AV94" s="660"/>
      <c r="AW94" s="660"/>
      <c r="AX94" s="660"/>
      <c r="AY94" s="660"/>
      <c r="AZ94" s="660"/>
      <c r="BA94" s="660"/>
      <c r="BB94" s="660"/>
      <c r="BC94" s="660"/>
      <c r="BD94" s="660"/>
      <c r="BE94" s="660"/>
      <c r="BF94" s="660"/>
      <c r="BG94" s="660"/>
      <c r="BH94" s="660"/>
      <c r="BI94" s="660"/>
      <c r="BJ94" s="660"/>
      <c r="BK94" s="1"/>
    </row>
    <row r="95" spans="2:63" ht="20.100000000000001" customHeight="1" x14ac:dyDescent="0.3">
      <c r="B95" s="1"/>
      <c r="C95" s="404" t="s">
        <v>87</v>
      </c>
      <c r="D95" s="405"/>
      <c r="E95" s="405"/>
      <c r="F95" s="405"/>
      <c r="G95" s="405"/>
      <c r="H95" s="513"/>
      <c r="I95" s="514"/>
      <c r="J95" s="514"/>
      <c r="K95" s="514"/>
      <c r="L95" s="515"/>
      <c r="M95" s="510"/>
      <c r="N95" s="511"/>
      <c r="O95" s="511"/>
      <c r="P95" s="511"/>
      <c r="Q95" s="511"/>
      <c r="R95" s="657"/>
      <c r="S95" s="658"/>
      <c r="T95" s="658"/>
      <c r="U95" s="658"/>
      <c r="V95" s="658"/>
      <c r="W95" s="658"/>
      <c r="X95" s="658"/>
      <c r="Y95" s="658"/>
      <c r="Z95" s="658"/>
      <c r="AA95" s="658"/>
      <c r="AB95" s="658"/>
      <c r="AC95" s="658"/>
      <c r="AD95" s="659"/>
      <c r="AE95" s="285"/>
      <c r="AF95" s="285"/>
      <c r="AG95" s="285"/>
      <c r="AH95" s="285"/>
      <c r="AI95" s="283"/>
      <c r="AJ95" s="283"/>
      <c r="AK95" s="283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AY95" s="283"/>
      <c r="AZ95" s="283"/>
      <c r="BA95" s="283"/>
      <c r="BB95" s="283"/>
      <c r="BC95" s="283"/>
      <c r="BD95" s="283"/>
      <c r="BE95" s="283"/>
      <c r="BF95" s="283"/>
      <c r="BG95" s="283"/>
      <c r="BH95" s="283"/>
      <c r="BI95" s="283"/>
      <c r="BJ95" s="283"/>
      <c r="BK95" s="1"/>
    </row>
    <row r="96" spans="2:63" ht="20.100000000000001" customHeight="1" x14ac:dyDescent="0.3">
      <c r="B96" s="1"/>
      <c r="C96" s="404" t="s">
        <v>88</v>
      </c>
      <c r="D96" s="405"/>
      <c r="E96" s="405"/>
      <c r="F96" s="405"/>
      <c r="G96" s="405"/>
      <c r="H96" s="513"/>
      <c r="I96" s="514"/>
      <c r="J96" s="514"/>
      <c r="K96" s="514"/>
      <c r="L96" s="515"/>
      <c r="M96" s="510"/>
      <c r="N96" s="511"/>
      <c r="O96" s="511"/>
      <c r="P96" s="511"/>
      <c r="Q96" s="511"/>
      <c r="R96" s="657"/>
      <c r="S96" s="658"/>
      <c r="T96" s="658"/>
      <c r="U96" s="658"/>
      <c r="V96" s="658"/>
      <c r="W96" s="658"/>
      <c r="X96" s="658"/>
      <c r="Y96" s="658"/>
      <c r="Z96" s="658"/>
      <c r="AA96" s="658"/>
      <c r="AB96" s="658"/>
      <c r="AC96" s="658"/>
      <c r="AD96" s="659"/>
      <c r="AE96" s="285"/>
      <c r="AF96" s="285"/>
      <c r="AG96" s="285"/>
      <c r="AH96" s="285"/>
      <c r="AI96" s="647" t="s">
        <v>89</v>
      </c>
      <c r="AJ96" s="647"/>
      <c r="AK96" s="647"/>
      <c r="AL96" s="647"/>
      <c r="AM96" s="647"/>
      <c r="AN96" s="647"/>
      <c r="AO96" s="647"/>
      <c r="AP96" s="647"/>
      <c r="AQ96" s="647"/>
      <c r="AR96" s="647"/>
      <c r="AS96" s="647"/>
      <c r="AT96" s="647"/>
      <c r="AU96" s="647"/>
      <c r="AV96" s="647"/>
      <c r="AW96" s="647"/>
      <c r="AX96" s="647"/>
      <c r="AY96" s="647"/>
      <c r="AZ96" s="647"/>
      <c r="BA96" s="723"/>
      <c r="BB96" s="723"/>
      <c r="BC96" s="723"/>
      <c r="BD96" s="723"/>
      <c r="BE96" s="723"/>
      <c r="BF96" s="723"/>
      <c r="BG96" s="723"/>
      <c r="BH96" s="723"/>
      <c r="BI96" s="723"/>
      <c r="BJ96" s="723"/>
      <c r="BK96" s="1"/>
    </row>
    <row r="97" spans="2:63" ht="20.100000000000001" customHeight="1" x14ac:dyDescent="0.3">
      <c r="B97" s="1"/>
      <c r="C97" s="404" t="s">
        <v>90</v>
      </c>
      <c r="D97" s="405"/>
      <c r="E97" s="405"/>
      <c r="F97" s="405"/>
      <c r="G97" s="405"/>
      <c r="H97" s="513"/>
      <c r="I97" s="514"/>
      <c r="J97" s="514"/>
      <c r="K97" s="514"/>
      <c r="L97" s="515"/>
      <c r="M97" s="510"/>
      <c r="N97" s="511"/>
      <c r="O97" s="511"/>
      <c r="P97" s="511"/>
      <c r="Q97" s="511"/>
      <c r="R97" s="657"/>
      <c r="S97" s="658"/>
      <c r="T97" s="658"/>
      <c r="U97" s="658"/>
      <c r="V97" s="658"/>
      <c r="W97" s="658"/>
      <c r="X97" s="658"/>
      <c r="Y97" s="658"/>
      <c r="Z97" s="658"/>
      <c r="AA97" s="658"/>
      <c r="AB97" s="658"/>
      <c r="AC97" s="658"/>
      <c r="AD97" s="659"/>
      <c r="AE97" s="285"/>
      <c r="AF97" s="285"/>
      <c r="AG97" s="285"/>
      <c r="AH97" s="285"/>
      <c r="AI97" s="647"/>
      <c r="AJ97" s="647"/>
      <c r="AK97" s="647"/>
      <c r="AL97" s="647"/>
      <c r="AM97" s="647"/>
      <c r="AN97" s="647"/>
      <c r="AO97" s="647"/>
      <c r="AP97" s="647"/>
      <c r="AQ97" s="647"/>
      <c r="AR97" s="647"/>
      <c r="AS97" s="647"/>
      <c r="AT97" s="647"/>
      <c r="AU97" s="647"/>
      <c r="AV97" s="647"/>
      <c r="AW97" s="647"/>
      <c r="AX97" s="647"/>
      <c r="AY97" s="647"/>
      <c r="AZ97" s="647"/>
      <c r="BA97" s="723"/>
      <c r="BB97" s="723"/>
      <c r="BC97" s="723"/>
      <c r="BD97" s="723"/>
      <c r="BE97" s="723"/>
      <c r="BF97" s="723"/>
      <c r="BG97" s="723"/>
      <c r="BH97" s="723"/>
      <c r="BI97" s="723"/>
      <c r="BJ97" s="723"/>
      <c r="BK97" s="1"/>
    </row>
    <row r="98" spans="2:63" ht="20.100000000000001" customHeight="1" x14ac:dyDescent="0.3">
      <c r="B98" s="1"/>
      <c r="C98" s="404" t="s">
        <v>91</v>
      </c>
      <c r="D98" s="405"/>
      <c r="E98" s="405"/>
      <c r="F98" s="405"/>
      <c r="G98" s="405"/>
      <c r="H98" s="513"/>
      <c r="I98" s="514"/>
      <c r="J98" s="514"/>
      <c r="K98" s="514"/>
      <c r="L98" s="515"/>
      <c r="M98" s="510"/>
      <c r="N98" s="511"/>
      <c r="O98" s="511"/>
      <c r="P98" s="511"/>
      <c r="Q98" s="511"/>
      <c r="R98" s="657"/>
      <c r="S98" s="658"/>
      <c r="T98" s="658"/>
      <c r="U98" s="658"/>
      <c r="V98" s="658"/>
      <c r="W98" s="658"/>
      <c r="X98" s="658"/>
      <c r="Y98" s="658"/>
      <c r="Z98" s="658"/>
      <c r="AA98" s="658"/>
      <c r="AB98" s="658"/>
      <c r="AC98" s="658"/>
      <c r="AD98" s="659"/>
      <c r="AE98" s="285"/>
      <c r="AF98" s="285"/>
      <c r="AG98" s="285"/>
      <c r="AH98" s="285"/>
      <c r="AI98" s="647" t="s">
        <v>92</v>
      </c>
      <c r="AJ98" s="647"/>
      <c r="AK98" s="647"/>
      <c r="AL98" s="647"/>
      <c r="AM98" s="647"/>
      <c r="AN98" s="647"/>
      <c r="AO98" s="647"/>
      <c r="AP98" s="647"/>
      <c r="AQ98" s="647"/>
      <c r="AR98" s="647"/>
      <c r="AS98" s="647"/>
      <c r="AT98" s="647"/>
      <c r="AU98" s="647"/>
      <c r="AV98" s="647"/>
      <c r="AW98" s="647"/>
      <c r="AX98" s="647"/>
      <c r="AY98" s="647"/>
      <c r="AZ98" s="647"/>
      <c r="BA98" s="396"/>
      <c r="BB98" s="396"/>
      <c r="BC98" s="396"/>
      <c r="BD98" s="396"/>
      <c r="BE98" s="396"/>
      <c r="BF98" s="396"/>
      <c r="BG98" s="396"/>
      <c r="BH98" s="396"/>
      <c r="BI98" s="396"/>
      <c r="BJ98" s="396"/>
      <c r="BK98" s="1"/>
    </row>
    <row r="99" spans="2:63" ht="20.100000000000001" customHeight="1" x14ac:dyDescent="0.3">
      <c r="B99" s="1"/>
      <c r="C99" s="404" t="s">
        <v>93</v>
      </c>
      <c r="D99" s="405"/>
      <c r="E99" s="405"/>
      <c r="F99" s="405"/>
      <c r="G99" s="405"/>
      <c r="H99" s="513"/>
      <c r="I99" s="514"/>
      <c r="J99" s="514"/>
      <c r="K99" s="514"/>
      <c r="L99" s="515"/>
      <c r="M99" s="510"/>
      <c r="N99" s="511"/>
      <c r="O99" s="511"/>
      <c r="P99" s="511"/>
      <c r="Q99" s="511"/>
      <c r="R99" s="657"/>
      <c r="S99" s="658"/>
      <c r="T99" s="658"/>
      <c r="U99" s="658"/>
      <c r="V99" s="658"/>
      <c r="W99" s="658"/>
      <c r="X99" s="658"/>
      <c r="Y99" s="658"/>
      <c r="Z99" s="658"/>
      <c r="AA99" s="658"/>
      <c r="AB99" s="658"/>
      <c r="AC99" s="658"/>
      <c r="AD99" s="659"/>
      <c r="AE99" s="285"/>
      <c r="AF99" s="285"/>
      <c r="AG99" s="285"/>
      <c r="AH99" s="285"/>
      <c r="AI99" s="647"/>
      <c r="AJ99" s="647"/>
      <c r="AK99" s="647"/>
      <c r="AL99" s="647"/>
      <c r="AM99" s="647"/>
      <c r="AN99" s="647"/>
      <c r="AO99" s="647"/>
      <c r="AP99" s="647"/>
      <c r="AQ99" s="647"/>
      <c r="AR99" s="647"/>
      <c r="AS99" s="647"/>
      <c r="AT99" s="647"/>
      <c r="AU99" s="647"/>
      <c r="AV99" s="647"/>
      <c r="AW99" s="647"/>
      <c r="AX99" s="647"/>
      <c r="AY99" s="647"/>
      <c r="AZ99" s="647"/>
      <c r="BA99" s="396"/>
      <c r="BB99" s="396"/>
      <c r="BC99" s="396"/>
      <c r="BD99" s="396"/>
      <c r="BE99" s="396"/>
      <c r="BF99" s="396"/>
      <c r="BG99" s="396"/>
      <c r="BH99" s="396"/>
      <c r="BI99" s="396"/>
      <c r="BJ99" s="396"/>
      <c r="BK99" s="1"/>
    </row>
    <row r="100" spans="2:63" ht="19.5" customHeight="1" x14ac:dyDescent="0.3">
      <c r="B100" s="1"/>
      <c r="C100" s="404" t="s">
        <v>94</v>
      </c>
      <c r="D100" s="405"/>
      <c r="E100" s="405"/>
      <c r="F100" s="405"/>
      <c r="G100" s="405"/>
      <c r="H100" s="513"/>
      <c r="I100" s="514"/>
      <c r="J100" s="514"/>
      <c r="K100" s="514"/>
      <c r="L100" s="515"/>
      <c r="M100" s="512"/>
      <c r="N100" s="512"/>
      <c r="O100" s="512"/>
      <c r="P100" s="512"/>
      <c r="Q100" s="510"/>
      <c r="R100" s="510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1"/>
      <c r="AC100" s="511"/>
      <c r="AD100" s="767"/>
      <c r="AE100" s="285"/>
      <c r="AF100" s="285"/>
      <c r="AG100" s="285"/>
      <c r="AH100" s="285"/>
      <c r="AI100" s="647" t="s">
        <v>95</v>
      </c>
      <c r="AJ100" s="647"/>
      <c r="AK100" s="647"/>
      <c r="AL100" s="647"/>
      <c r="AM100" s="647"/>
      <c r="AN100" s="647"/>
      <c r="AO100" s="647"/>
      <c r="AP100" s="647"/>
      <c r="AQ100" s="647"/>
      <c r="AR100" s="647"/>
      <c r="AS100" s="647"/>
      <c r="AT100" s="647"/>
      <c r="AU100" s="647"/>
      <c r="AV100" s="647"/>
      <c r="AW100" s="647"/>
      <c r="AX100" s="647"/>
      <c r="AY100" s="647"/>
      <c r="AZ100" s="647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1"/>
    </row>
    <row r="101" spans="2:63" ht="23.25" customHeight="1" x14ac:dyDescent="0.3">
      <c r="B101" s="1"/>
      <c r="C101" s="764" t="s">
        <v>96</v>
      </c>
      <c r="D101" s="765"/>
      <c r="E101" s="765"/>
      <c r="F101" s="765"/>
      <c r="G101" s="766"/>
      <c r="H101" s="646">
        <f>(H94*M94)+(H95*M95)+(H96*M96)+(H97*M97)+(H98*M98)+(H99*M99)+(H100*M100)</f>
        <v>0</v>
      </c>
      <c r="I101" s="646"/>
      <c r="J101" s="646"/>
      <c r="K101" s="646"/>
      <c r="L101" s="646"/>
      <c r="M101" s="507">
        <f>SUMIF(H94:L100,"&lt;&gt;"&amp;"",M94:Q100)</f>
        <v>0</v>
      </c>
      <c r="N101" s="508"/>
      <c r="O101" s="508"/>
      <c r="P101" s="508"/>
      <c r="Q101" s="509"/>
      <c r="R101" s="648"/>
      <c r="S101" s="649"/>
      <c r="T101" s="649"/>
      <c r="U101" s="649"/>
      <c r="V101" s="649"/>
      <c r="W101" s="649"/>
      <c r="X101" s="649"/>
      <c r="Y101" s="649"/>
      <c r="Z101" s="649"/>
      <c r="AA101" s="649"/>
      <c r="AB101" s="649"/>
      <c r="AC101" s="649"/>
      <c r="AD101" s="650"/>
      <c r="AE101" s="132"/>
      <c r="AF101" s="132"/>
      <c r="AG101" s="132"/>
      <c r="AH101" s="132"/>
      <c r="AI101" s="647"/>
      <c r="AJ101" s="647"/>
      <c r="AK101" s="647"/>
      <c r="AL101" s="647"/>
      <c r="AM101" s="647"/>
      <c r="AN101" s="647"/>
      <c r="AO101" s="647"/>
      <c r="AP101" s="647"/>
      <c r="AQ101" s="647"/>
      <c r="AR101" s="647"/>
      <c r="AS101" s="647"/>
      <c r="AT101" s="647"/>
      <c r="AU101" s="647"/>
      <c r="AV101" s="647"/>
      <c r="AW101" s="647"/>
      <c r="AX101" s="647"/>
      <c r="AY101" s="647"/>
      <c r="AZ101" s="647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1"/>
    </row>
    <row r="102" spans="2:63" ht="6" customHeight="1" x14ac:dyDescent="0.3"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0"/>
      <c r="AD102" s="280"/>
      <c r="AE102" s="280"/>
      <c r="AF102" s="280"/>
      <c r="AG102" s="280"/>
      <c r="AH102" s="280"/>
      <c r="AI102" s="280"/>
      <c r="AJ102" s="280"/>
      <c r="AK102" s="280"/>
      <c r="AL102" s="280"/>
      <c r="AM102" s="280"/>
      <c r="AN102" s="280"/>
      <c r="AO102" s="280"/>
      <c r="AP102" s="280"/>
      <c r="AQ102" s="280"/>
      <c r="AR102" s="280"/>
      <c r="AS102" s="280"/>
      <c r="AT102" s="280"/>
      <c r="AU102" s="280"/>
      <c r="AV102" s="280"/>
      <c r="AW102" s="280"/>
      <c r="AX102" s="280"/>
      <c r="AY102" s="280"/>
      <c r="AZ102" s="280"/>
      <c r="BA102" s="280"/>
      <c r="BB102" s="280"/>
      <c r="BC102" s="280"/>
      <c r="BD102" s="280"/>
      <c r="BE102" s="280"/>
      <c r="BF102" s="280"/>
      <c r="BG102" s="280"/>
      <c r="BH102" s="280"/>
      <c r="BI102" s="280"/>
      <c r="BJ102" s="280"/>
    </row>
    <row r="103" spans="2:63" s="136" customFormat="1" ht="30.9" hidden="1" customHeight="1" x14ac:dyDescent="0.3">
      <c r="C103" s="729" t="s">
        <v>97</v>
      </c>
      <c r="D103" s="730"/>
      <c r="E103" s="730"/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  <c r="AA103" s="730"/>
      <c r="AB103" s="730"/>
      <c r="AC103" s="730"/>
      <c r="AD103" s="730"/>
      <c r="AE103" s="730"/>
      <c r="AF103" s="730"/>
      <c r="AG103" s="730"/>
      <c r="AH103" s="730"/>
      <c r="AI103" s="730"/>
      <c r="AJ103" s="730"/>
      <c r="AK103" s="730"/>
      <c r="AL103" s="730"/>
      <c r="AM103" s="730"/>
      <c r="AN103" s="730"/>
      <c r="AO103" s="730"/>
      <c r="AP103" s="730"/>
      <c r="AQ103" s="730"/>
      <c r="AR103" s="730"/>
      <c r="AS103" s="730"/>
      <c r="AT103" s="730"/>
      <c r="AU103" s="730"/>
      <c r="AV103" s="730"/>
      <c r="AW103" s="730"/>
      <c r="AX103" s="731"/>
      <c r="AY103" s="729" t="s">
        <v>98</v>
      </c>
      <c r="AZ103" s="730"/>
      <c r="BA103" s="730"/>
      <c r="BB103" s="730"/>
      <c r="BC103" s="730"/>
      <c r="BD103" s="730"/>
      <c r="BE103" s="730"/>
      <c r="BF103" s="730"/>
      <c r="BG103" s="730"/>
      <c r="BH103" s="730"/>
      <c r="BI103" s="730"/>
      <c r="BJ103" s="731"/>
    </row>
    <row r="104" spans="2:63" s="136" customFormat="1" ht="65.099999999999994" hidden="1" customHeight="1" x14ac:dyDescent="0.3">
      <c r="C104" s="637" t="s">
        <v>99</v>
      </c>
      <c r="D104" s="637"/>
      <c r="E104" s="637"/>
      <c r="F104" s="637"/>
      <c r="G104" s="637"/>
      <c r="H104" s="637"/>
      <c r="I104" s="637"/>
      <c r="J104" s="637" t="s">
        <v>100</v>
      </c>
      <c r="K104" s="637"/>
      <c r="L104" s="637"/>
      <c r="M104" s="637"/>
      <c r="N104" s="637" t="s">
        <v>101</v>
      </c>
      <c r="O104" s="637"/>
      <c r="P104" s="637"/>
      <c r="Q104" s="724" t="s">
        <v>102</v>
      </c>
      <c r="R104" s="725"/>
      <c r="S104" s="726"/>
      <c r="T104" s="637" t="s">
        <v>103</v>
      </c>
      <c r="U104" s="637"/>
      <c r="V104" s="637"/>
      <c r="W104" s="637"/>
      <c r="X104" s="637" t="s">
        <v>104</v>
      </c>
      <c r="Y104" s="637"/>
      <c r="Z104" s="637"/>
      <c r="AA104" s="637"/>
      <c r="AB104" s="637" t="s">
        <v>105</v>
      </c>
      <c r="AC104" s="637"/>
      <c r="AD104" s="637"/>
      <c r="AE104" s="637"/>
      <c r="AF104" s="637" t="s">
        <v>106</v>
      </c>
      <c r="AG104" s="637"/>
      <c r="AH104" s="637"/>
      <c r="AI104" s="637" t="s">
        <v>107</v>
      </c>
      <c r="AJ104" s="637"/>
      <c r="AK104" s="637" t="s">
        <v>108</v>
      </c>
      <c r="AL104" s="637"/>
      <c r="AM104" s="637"/>
      <c r="AN104" s="637" t="s">
        <v>109</v>
      </c>
      <c r="AO104" s="637"/>
      <c r="AP104" s="637"/>
      <c r="AQ104" s="637" t="s">
        <v>110</v>
      </c>
      <c r="AR104" s="637"/>
      <c r="AS104" s="637"/>
      <c r="AT104" s="637"/>
      <c r="AU104" s="724" t="s">
        <v>111</v>
      </c>
      <c r="AV104" s="725"/>
      <c r="AW104" s="725"/>
      <c r="AX104" s="726"/>
      <c r="AY104" s="724" t="s">
        <v>112</v>
      </c>
      <c r="AZ104" s="725"/>
      <c r="BA104" s="725"/>
      <c r="BB104" s="726"/>
      <c r="BC104" s="724" t="s">
        <v>113</v>
      </c>
      <c r="BD104" s="725"/>
      <c r="BE104" s="726"/>
      <c r="BF104" s="348"/>
      <c r="BG104" s="348"/>
      <c r="BH104" s="724" t="s">
        <v>114</v>
      </c>
      <c r="BI104" s="725"/>
      <c r="BJ104" s="726"/>
    </row>
    <row r="105" spans="2:63" ht="42.9" hidden="1" customHeight="1" x14ac:dyDescent="0.3">
      <c r="C105" s="379" t="s">
        <v>115</v>
      </c>
      <c r="D105" s="379"/>
      <c r="E105" s="379"/>
      <c r="F105" s="379"/>
      <c r="G105" s="379"/>
      <c r="H105" s="379"/>
      <c r="I105" s="379"/>
      <c r="J105" s="379">
        <v>150</v>
      </c>
      <c r="K105" s="379"/>
      <c r="L105" s="379"/>
      <c r="M105" s="379"/>
      <c r="N105" s="379">
        <v>0.88</v>
      </c>
      <c r="O105" s="379"/>
      <c r="P105" s="379"/>
      <c r="Q105" s="386">
        <v>0.92</v>
      </c>
      <c r="R105" s="387"/>
      <c r="S105" s="388"/>
      <c r="T105" s="386">
        <f>(J105*736)/(N105*Q105*1000)</f>
        <v>136.36363636363637</v>
      </c>
      <c r="U105" s="387"/>
      <c r="V105" s="387"/>
      <c r="W105" s="388"/>
      <c r="X105" s="379">
        <v>380</v>
      </c>
      <c r="Y105" s="379"/>
      <c r="Z105" s="379"/>
      <c r="AA105" s="379"/>
      <c r="AB105" s="378">
        <f>J105*736/(1000*Q105)</f>
        <v>120</v>
      </c>
      <c r="AC105" s="378"/>
      <c r="AD105" s="378"/>
      <c r="AE105" s="378"/>
      <c r="AF105" s="378">
        <f>AB105/((X105/1000)*SQRT(3)*N105*Q105)</f>
        <v>225.1990336447989</v>
      </c>
      <c r="AG105" s="378"/>
      <c r="AH105" s="378"/>
      <c r="AI105" s="379">
        <v>6</v>
      </c>
      <c r="AJ105" s="379"/>
      <c r="AK105" s="378">
        <f>AF105*AI105</f>
        <v>1351.1942018687935</v>
      </c>
      <c r="AL105" s="378"/>
      <c r="AM105" s="378"/>
      <c r="AN105" s="379">
        <v>10</v>
      </c>
      <c r="AO105" s="379"/>
      <c r="AP105" s="379"/>
      <c r="AQ105" s="378" t="e">
        <f>AK105/($S$85*1000/X105)</f>
        <v>#DIV/0!</v>
      </c>
      <c r="AR105" s="378"/>
      <c r="AS105" s="378"/>
      <c r="AT105" s="378"/>
      <c r="AU105" s="380" t="s">
        <v>116</v>
      </c>
      <c r="AV105" s="381"/>
      <c r="AW105" s="381"/>
      <c r="AX105" s="382"/>
      <c r="AY105" s="383">
        <v>516</v>
      </c>
      <c r="AZ105" s="384"/>
      <c r="BA105" s="384"/>
      <c r="BB105" s="385"/>
      <c r="BC105" s="349"/>
      <c r="BD105" s="349"/>
      <c r="BE105" s="349" t="e">
        <f>AY105/($S$85*SQRT(3))</f>
        <v>#DIV/0!</v>
      </c>
      <c r="BF105" s="349"/>
      <c r="BG105" s="349"/>
      <c r="BH105" s="386" t="e">
        <f>AQ105+BC105</f>
        <v>#DIV/0!</v>
      </c>
      <c r="BI105" s="387"/>
      <c r="BJ105" s="388"/>
    </row>
    <row r="106" spans="2:63" ht="15" hidden="1" customHeight="1" x14ac:dyDescent="0.3">
      <c r="C106" s="379"/>
      <c r="D106" s="379"/>
      <c r="E106" s="379"/>
      <c r="F106" s="379"/>
      <c r="G106" s="379"/>
      <c r="H106" s="379"/>
      <c r="I106" s="379"/>
      <c r="J106" s="379">
        <v>50</v>
      </c>
      <c r="K106" s="379"/>
      <c r="L106" s="379"/>
      <c r="M106" s="379"/>
      <c r="N106" s="379">
        <v>0.88</v>
      </c>
      <c r="O106" s="379"/>
      <c r="P106" s="379"/>
      <c r="Q106" s="386">
        <v>0.92</v>
      </c>
      <c r="R106" s="387"/>
      <c r="S106" s="388"/>
      <c r="T106" s="386">
        <f>(J106*736)/(N106*Q106*1000)</f>
        <v>45.454545454545453</v>
      </c>
      <c r="U106" s="387"/>
      <c r="V106" s="387"/>
      <c r="W106" s="388"/>
      <c r="X106" s="379">
        <v>380</v>
      </c>
      <c r="Y106" s="379"/>
      <c r="Z106" s="379"/>
      <c r="AA106" s="379"/>
      <c r="AB106" s="378">
        <f>J106*736/(1000*Q106)</f>
        <v>40</v>
      </c>
      <c r="AC106" s="378"/>
      <c r="AD106" s="378"/>
      <c r="AE106" s="378"/>
      <c r="AF106" s="378">
        <f>AB106/((X106/1000)*SQRT(3)*N106*Q106)</f>
        <v>75.066344548266301</v>
      </c>
      <c r="AG106" s="378"/>
      <c r="AH106" s="378"/>
      <c r="AI106" s="379">
        <v>6</v>
      </c>
      <c r="AJ106" s="379"/>
      <c r="AK106" s="378">
        <f>AF106*AI106</f>
        <v>450.3980672895978</v>
      </c>
      <c r="AL106" s="378"/>
      <c r="AM106" s="378"/>
      <c r="AN106" s="379">
        <v>10</v>
      </c>
      <c r="AO106" s="379"/>
      <c r="AP106" s="379"/>
      <c r="AQ106" s="378" t="e">
        <f>AK106/($S$85*1000/X106)</f>
        <v>#DIV/0!</v>
      </c>
      <c r="AR106" s="378"/>
      <c r="AS106" s="378"/>
      <c r="AT106" s="378"/>
      <c r="AU106" s="380"/>
      <c r="AV106" s="381"/>
      <c r="AW106" s="381"/>
      <c r="AX106" s="382"/>
      <c r="AY106" s="383">
        <v>606</v>
      </c>
      <c r="AZ106" s="384"/>
      <c r="BA106" s="384"/>
      <c r="BB106" s="385"/>
      <c r="BC106" s="378" t="e">
        <f>AY106/($S$85*SQRT(3))</f>
        <v>#DIV/0!</v>
      </c>
      <c r="BD106" s="378"/>
      <c r="BE106" s="378"/>
      <c r="BF106" s="378" t="e">
        <f>AQ106+BC106</f>
        <v>#DIV/0!</v>
      </c>
      <c r="BG106" s="378"/>
      <c r="BH106" s="378"/>
      <c r="BI106" s="378"/>
      <c r="BJ106" s="378"/>
    </row>
    <row r="107" spans="2:63" ht="15" hidden="1" customHeight="1" x14ac:dyDescent="0.3">
      <c r="C107" s="379"/>
      <c r="D107" s="379"/>
      <c r="E107" s="379"/>
      <c r="F107" s="379"/>
      <c r="G107" s="379"/>
      <c r="H107" s="379"/>
      <c r="I107" s="379"/>
      <c r="J107" s="379">
        <v>30</v>
      </c>
      <c r="K107" s="379"/>
      <c r="L107" s="379"/>
      <c r="M107" s="379"/>
      <c r="N107" s="379">
        <v>0.88</v>
      </c>
      <c r="O107" s="379"/>
      <c r="P107" s="379"/>
      <c r="Q107" s="386">
        <v>0.92</v>
      </c>
      <c r="R107" s="387"/>
      <c r="S107" s="388"/>
      <c r="T107" s="386">
        <f>(J107*736)/(N107*Q107*1000)</f>
        <v>27.272727272727273</v>
      </c>
      <c r="U107" s="387"/>
      <c r="V107" s="387"/>
      <c r="W107" s="388"/>
      <c r="X107" s="379">
        <v>380</v>
      </c>
      <c r="Y107" s="379"/>
      <c r="Z107" s="379"/>
      <c r="AA107" s="379"/>
      <c r="AB107" s="378">
        <f>J107*736/(1000*Q107)</f>
        <v>24</v>
      </c>
      <c r="AC107" s="378"/>
      <c r="AD107" s="378"/>
      <c r="AE107" s="378"/>
      <c r="AF107" s="378">
        <f>AB107/((X107/1000)*SQRT(3)*N107*Q107)</f>
        <v>45.039806728959782</v>
      </c>
      <c r="AG107" s="378"/>
      <c r="AH107" s="378"/>
      <c r="AI107" s="379">
        <v>6</v>
      </c>
      <c r="AJ107" s="379"/>
      <c r="AK107" s="378">
        <f>AF107*AI107</f>
        <v>270.23884037375871</v>
      </c>
      <c r="AL107" s="378"/>
      <c r="AM107" s="378"/>
      <c r="AN107" s="379">
        <v>10</v>
      </c>
      <c r="AO107" s="379"/>
      <c r="AP107" s="379"/>
      <c r="AQ107" s="378" t="e">
        <f>AK107/($S$85*1000/X107)</f>
        <v>#DIV/0!</v>
      </c>
      <c r="AR107" s="378"/>
      <c r="AS107" s="378"/>
      <c r="AT107" s="378"/>
      <c r="AU107" s="380"/>
      <c r="AV107" s="381"/>
      <c r="AW107" s="381"/>
      <c r="AX107" s="382"/>
      <c r="AY107" s="383">
        <v>624</v>
      </c>
      <c r="AZ107" s="384"/>
      <c r="BA107" s="384"/>
      <c r="BB107" s="385"/>
      <c r="BC107" s="378" t="e">
        <f>AY107/($S$85*SQRT(3))</f>
        <v>#DIV/0!</v>
      </c>
      <c r="BD107" s="378"/>
      <c r="BE107" s="378"/>
      <c r="BF107" s="378" t="e">
        <f>AQ107+BC107</f>
        <v>#DIV/0!</v>
      </c>
      <c r="BG107" s="378"/>
      <c r="BH107" s="378"/>
      <c r="BI107" s="378"/>
      <c r="BJ107" s="378"/>
    </row>
    <row r="108" spans="2:63" ht="15" hidden="1" customHeight="1" x14ac:dyDescent="0.3">
      <c r="C108" s="379"/>
      <c r="D108" s="379"/>
      <c r="E108" s="379"/>
      <c r="F108" s="379"/>
      <c r="G108" s="379"/>
      <c r="H108" s="379"/>
      <c r="I108" s="379"/>
      <c r="J108" s="379">
        <v>250</v>
      </c>
      <c r="K108" s="379"/>
      <c r="L108" s="379"/>
      <c r="M108" s="379"/>
      <c r="N108" s="379">
        <v>0.88</v>
      </c>
      <c r="O108" s="379"/>
      <c r="P108" s="379"/>
      <c r="Q108" s="386">
        <v>0.92</v>
      </c>
      <c r="R108" s="387"/>
      <c r="S108" s="388"/>
      <c r="T108" s="386">
        <f t="shared" ref="T108:T109" si="0">(J108*736)/(N108*Q108*1000)</f>
        <v>227.27272727272728</v>
      </c>
      <c r="U108" s="387"/>
      <c r="V108" s="387"/>
      <c r="W108" s="388"/>
      <c r="X108" s="379">
        <v>380</v>
      </c>
      <c r="Y108" s="379"/>
      <c r="Z108" s="379"/>
      <c r="AA108" s="379"/>
      <c r="AB108" s="378">
        <f>J108*736/(1000*Q108)</f>
        <v>200</v>
      </c>
      <c r="AC108" s="378"/>
      <c r="AD108" s="378"/>
      <c r="AE108" s="378"/>
      <c r="AF108" s="378">
        <f>AB108/((X108/1000)*SQRT(3)*N108*Q108)</f>
        <v>375.33172274133148</v>
      </c>
      <c r="AG108" s="378"/>
      <c r="AH108" s="378"/>
      <c r="AI108" s="379">
        <v>6</v>
      </c>
      <c r="AJ108" s="379"/>
      <c r="AK108" s="378">
        <f>AF108*AI108</f>
        <v>2251.9903364479887</v>
      </c>
      <c r="AL108" s="378"/>
      <c r="AM108" s="378"/>
      <c r="AN108" s="379">
        <v>10</v>
      </c>
      <c r="AO108" s="379"/>
      <c r="AP108" s="379"/>
      <c r="AQ108" s="378" t="e">
        <f>AK108/($S$85*1000/X108)</f>
        <v>#DIV/0!</v>
      </c>
      <c r="AR108" s="378"/>
      <c r="AS108" s="378"/>
      <c r="AT108" s="378"/>
      <c r="AU108" s="380"/>
      <c r="AV108" s="381"/>
      <c r="AW108" s="381"/>
      <c r="AX108" s="382"/>
      <c r="AY108" s="383">
        <v>484</v>
      </c>
      <c r="AZ108" s="384"/>
      <c r="BA108" s="384"/>
      <c r="BB108" s="385"/>
      <c r="BC108" s="378" t="e">
        <f>AY108/($S$85*SQRT(3))</f>
        <v>#DIV/0!</v>
      </c>
      <c r="BD108" s="378"/>
      <c r="BE108" s="378"/>
      <c r="BF108" s="378" t="e">
        <f>AQ108+BC108</f>
        <v>#DIV/0!</v>
      </c>
      <c r="BG108" s="378"/>
      <c r="BH108" s="378"/>
      <c r="BI108" s="378"/>
      <c r="BJ108" s="378"/>
    </row>
    <row r="109" spans="2:63" ht="15" hidden="1" customHeight="1" x14ac:dyDescent="0.3">
      <c r="C109" s="379"/>
      <c r="D109" s="379"/>
      <c r="E109" s="379"/>
      <c r="F109" s="379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86"/>
      <c r="R109" s="387"/>
      <c r="S109" s="388"/>
      <c r="T109" s="386" t="e">
        <f t="shared" si="0"/>
        <v>#DIV/0!</v>
      </c>
      <c r="U109" s="387"/>
      <c r="V109" s="387"/>
      <c r="W109" s="388"/>
      <c r="X109" s="379"/>
      <c r="Y109" s="379"/>
      <c r="Z109" s="379"/>
      <c r="AA109" s="379"/>
      <c r="AB109" s="378"/>
      <c r="AC109" s="378"/>
      <c r="AD109" s="378"/>
      <c r="AE109" s="378"/>
      <c r="AF109" s="378"/>
      <c r="AG109" s="378"/>
      <c r="AH109" s="378"/>
      <c r="AI109" s="379"/>
      <c r="AJ109" s="379"/>
      <c r="AK109" s="378"/>
      <c r="AL109" s="378"/>
      <c r="AM109" s="378"/>
      <c r="AN109" s="379"/>
      <c r="AO109" s="379"/>
      <c r="AP109" s="379"/>
      <c r="AQ109" s="378"/>
      <c r="AR109" s="378"/>
      <c r="AS109" s="378"/>
      <c r="AT109" s="378"/>
      <c r="AU109" s="380"/>
      <c r="AV109" s="381"/>
      <c r="AW109" s="381"/>
      <c r="AX109" s="382"/>
      <c r="AY109" s="383"/>
      <c r="AZ109" s="384"/>
      <c r="BA109" s="384"/>
      <c r="BB109" s="385"/>
      <c r="BC109" s="378"/>
      <c r="BD109" s="378"/>
      <c r="BE109" s="378"/>
      <c r="BF109" s="378"/>
      <c r="BG109" s="378"/>
      <c r="BH109" s="378"/>
      <c r="BI109" s="378"/>
      <c r="BJ109" s="378"/>
    </row>
    <row r="110" spans="2:63" ht="15" hidden="1" customHeight="1" x14ac:dyDescent="0.3">
      <c r="C110" s="379"/>
      <c r="D110" s="379"/>
      <c r="E110" s="379"/>
      <c r="F110" s="379"/>
      <c r="G110" s="379"/>
      <c r="H110" s="379"/>
      <c r="I110" s="379"/>
      <c r="J110" s="379"/>
      <c r="K110" s="379"/>
      <c r="L110" s="379"/>
      <c r="M110" s="379"/>
      <c r="N110" s="379"/>
      <c r="O110" s="379"/>
      <c r="P110" s="379"/>
      <c r="Q110" s="386"/>
      <c r="R110" s="387"/>
      <c r="S110" s="388"/>
      <c r="T110" s="386"/>
      <c r="U110" s="387"/>
      <c r="V110" s="387"/>
      <c r="W110" s="388"/>
      <c r="X110" s="379"/>
      <c r="Y110" s="379"/>
      <c r="Z110" s="379"/>
      <c r="AA110" s="379"/>
      <c r="AB110" s="378"/>
      <c r="AC110" s="378"/>
      <c r="AD110" s="378"/>
      <c r="AE110" s="378"/>
      <c r="AF110" s="378"/>
      <c r="AG110" s="378"/>
      <c r="AH110" s="378"/>
      <c r="AI110" s="379"/>
      <c r="AJ110" s="379"/>
      <c r="AK110" s="378"/>
      <c r="AL110" s="378"/>
      <c r="AM110" s="378"/>
      <c r="AN110" s="379"/>
      <c r="AO110" s="379"/>
      <c r="AP110" s="379"/>
      <c r="AQ110" s="378"/>
      <c r="AR110" s="378"/>
      <c r="AS110" s="378"/>
      <c r="AT110" s="378"/>
      <c r="AU110" s="380"/>
      <c r="AV110" s="381"/>
      <c r="AW110" s="381"/>
      <c r="AX110" s="382"/>
      <c r="AY110" s="383"/>
      <c r="AZ110" s="384"/>
      <c r="BA110" s="384"/>
      <c r="BB110" s="385"/>
      <c r="BC110" s="378"/>
      <c r="BD110" s="378"/>
      <c r="BE110" s="378"/>
      <c r="BF110" s="378"/>
      <c r="BG110" s="378"/>
      <c r="BH110" s="378"/>
      <c r="BI110" s="378"/>
      <c r="BJ110" s="378"/>
    </row>
    <row r="111" spans="2:63" ht="15" hidden="1" customHeight="1" x14ac:dyDescent="0.3">
      <c r="C111" s="379"/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86"/>
      <c r="R111" s="387"/>
      <c r="S111" s="388"/>
      <c r="T111" s="386"/>
      <c r="U111" s="387"/>
      <c r="V111" s="387"/>
      <c r="W111" s="388"/>
      <c r="X111" s="379"/>
      <c r="Y111" s="379"/>
      <c r="Z111" s="379"/>
      <c r="AA111" s="379"/>
      <c r="AB111" s="378"/>
      <c r="AC111" s="378"/>
      <c r="AD111" s="378"/>
      <c r="AE111" s="378"/>
      <c r="AF111" s="378"/>
      <c r="AG111" s="378"/>
      <c r="AH111" s="378"/>
      <c r="AI111" s="379"/>
      <c r="AJ111" s="379"/>
      <c r="AK111" s="378"/>
      <c r="AL111" s="378"/>
      <c r="AM111" s="378"/>
      <c r="AN111" s="379"/>
      <c r="AO111" s="379"/>
      <c r="AP111" s="379"/>
      <c r="AQ111" s="378"/>
      <c r="AR111" s="378"/>
      <c r="AS111" s="378"/>
      <c r="AT111" s="378"/>
      <c r="AU111" s="380"/>
      <c r="AV111" s="381"/>
      <c r="AW111" s="381"/>
      <c r="AX111" s="382"/>
      <c r="AY111" s="383"/>
      <c r="AZ111" s="384"/>
      <c r="BA111" s="384"/>
      <c r="BB111" s="385"/>
      <c r="BC111" s="378"/>
      <c r="BD111" s="378"/>
      <c r="BE111" s="378"/>
      <c r="BF111" s="378"/>
      <c r="BG111" s="378"/>
      <c r="BH111" s="378"/>
      <c r="BI111" s="378"/>
      <c r="BJ111" s="378"/>
    </row>
    <row r="112" spans="2:63" ht="15" hidden="1" customHeight="1" x14ac:dyDescent="0.3">
      <c r="C112" s="379"/>
      <c r="D112" s="379"/>
      <c r="E112" s="379"/>
      <c r="F112" s="379"/>
      <c r="G112" s="379"/>
      <c r="H112" s="379"/>
      <c r="I112" s="379"/>
      <c r="J112" s="379"/>
      <c r="K112" s="379"/>
      <c r="L112" s="379"/>
      <c r="M112" s="379"/>
      <c r="N112" s="379"/>
      <c r="O112" s="379"/>
      <c r="P112" s="379"/>
      <c r="Q112" s="386"/>
      <c r="R112" s="387"/>
      <c r="S112" s="388"/>
      <c r="T112" s="386"/>
      <c r="U112" s="387"/>
      <c r="V112" s="387"/>
      <c r="W112" s="388"/>
      <c r="X112" s="379"/>
      <c r="Y112" s="379"/>
      <c r="Z112" s="379"/>
      <c r="AA112" s="379"/>
      <c r="AB112" s="378"/>
      <c r="AC112" s="378"/>
      <c r="AD112" s="378"/>
      <c r="AE112" s="378"/>
      <c r="AF112" s="378"/>
      <c r="AG112" s="378"/>
      <c r="AH112" s="378"/>
      <c r="AI112" s="379"/>
      <c r="AJ112" s="379"/>
      <c r="AK112" s="378"/>
      <c r="AL112" s="378"/>
      <c r="AM112" s="378"/>
      <c r="AN112" s="379"/>
      <c r="AO112" s="379"/>
      <c r="AP112" s="379"/>
      <c r="AQ112" s="378"/>
      <c r="AR112" s="378"/>
      <c r="AS112" s="378"/>
      <c r="AT112" s="378"/>
      <c r="AU112" s="380"/>
      <c r="AV112" s="381"/>
      <c r="AW112" s="381"/>
      <c r="AX112" s="382"/>
      <c r="AY112" s="383"/>
      <c r="AZ112" s="384"/>
      <c r="BA112" s="384"/>
      <c r="BB112" s="385"/>
      <c r="BC112" s="378"/>
      <c r="BD112" s="378"/>
      <c r="BE112" s="378"/>
      <c r="BF112" s="378"/>
      <c r="BG112" s="378"/>
      <c r="BH112" s="378"/>
      <c r="BI112" s="378"/>
      <c r="BJ112" s="378"/>
    </row>
    <row r="113" spans="3:62" ht="15" hidden="1" customHeight="1" x14ac:dyDescent="0.3">
      <c r="C113" s="379"/>
      <c r="D113" s="379"/>
      <c r="E113" s="379"/>
      <c r="F113" s="379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86"/>
      <c r="R113" s="387"/>
      <c r="S113" s="388"/>
      <c r="T113" s="386"/>
      <c r="U113" s="387"/>
      <c r="V113" s="387"/>
      <c r="W113" s="388"/>
      <c r="X113" s="379"/>
      <c r="Y113" s="379"/>
      <c r="Z113" s="379"/>
      <c r="AA113" s="379"/>
      <c r="AB113" s="378"/>
      <c r="AC113" s="378"/>
      <c r="AD113" s="378"/>
      <c r="AE113" s="378"/>
      <c r="AF113" s="378"/>
      <c r="AG113" s="378"/>
      <c r="AH113" s="378"/>
      <c r="AI113" s="379"/>
      <c r="AJ113" s="379"/>
      <c r="AK113" s="378"/>
      <c r="AL113" s="378"/>
      <c r="AM113" s="378"/>
      <c r="AN113" s="379"/>
      <c r="AO113" s="379"/>
      <c r="AP113" s="379"/>
      <c r="AQ113" s="378"/>
      <c r="AR113" s="378"/>
      <c r="AS113" s="378"/>
      <c r="AT113" s="378"/>
      <c r="AU113" s="380"/>
      <c r="AV113" s="381"/>
      <c r="AW113" s="381"/>
      <c r="AX113" s="382"/>
      <c r="AY113" s="383"/>
      <c r="AZ113" s="384"/>
      <c r="BA113" s="384"/>
      <c r="BB113" s="385"/>
      <c r="BC113" s="378"/>
      <c r="BD113" s="378"/>
      <c r="BE113" s="378"/>
      <c r="BF113" s="378"/>
      <c r="BG113" s="378"/>
      <c r="BH113" s="378"/>
      <c r="BI113" s="378"/>
      <c r="BJ113" s="378"/>
    </row>
    <row r="114" spans="3:62" ht="15" hidden="1" customHeight="1" x14ac:dyDescent="0.3"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86"/>
      <c r="R114" s="387"/>
      <c r="S114" s="388"/>
      <c r="T114" s="386"/>
      <c r="U114" s="387"/>
      <c r="V114" s="387"/>
      <c r="W114" s="388"/>
      <c r="X114" s="379"/>
      <c r="Y114" s="379"/>
      <c r="Z114" s="379"/>
      <c r="AA114" s="379"/>
      <c r="AB114" s="378"/>
      <c r="AC114" s="378"/>
      <c r="AD114" s="378"/>
      <c r="AE114" s="378"/>
      <c r="AF114" s="378"/>
      <c r="AG114" s="378"/>
      <c r="AH114" s="378"/>
      <c r="AI114" s="379"/>
      <c r="AJ114" s="379"/>
      <c r="AK114" s="378"/>
      <c r="AL114" s="378"/>
      <c r="AM114" s="378"/>
      <c r="AN114" s="379"/>
      <c r="AO114" s="379"/>
      <c r="AP114" s="379"/>
      <c r="AQ114" s="378"/>
      <c r="AR114" s="378"/>
      <c r="AS114" s="378"/>
      <c r="AT114" s="378"/>
      <c r="AU114" s="380"/>
      <c r="AV114" s="381"/>
      <c r="AW114" s="381"/>
      <c r="AX114" s="382"/>
      <c r="AY114" s="383"/>
      <c r="AZ114" s="384"/>
      <c r="BA114" s="384"/>
      <c r="BB114" s="385"/>
      <c r="BC114" s="378"/>
      <c r="BD114" s="378"/>
      <c r="BE114" s="378"/>
      <c r="BF114" s="378"/>
      <c r="BG114" s="378"/>
      <c r="BH114" s="378"/>
      <c r="BI114" s="378"/>
      <c r="BJ114" s="378"/>
    </row>
    <row r="115" spans="3:62" ht="15" hidden="1" customHeight="1" x14ac:dyDescent="0.3">
      <c r="C115" s="379"/>
      <c r="D115" s="379"/>
      <c r="E115" s="379"/>
      <c r="F115" s="379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86"/>
      <c r="R115" s="387"/>
      <c r="S115" s="388"/>
      <c r="T115" s="386"/>
      <c r="U115" s="387"/>
      <c r="V115" s="387"/>
      <c r="W115" s="388"/>
      <c r="X115" s="379"/>
      <c r="Y115" s="379"/>
      <c r="Z115" s="379"/>
      <c r="AA115" s="379"/>
      <c r="AB115" s="378"/>
      <c r="AC115" s="378"/>
      <c r="AD115" s="378"/>
      <c r="AE115" s="378"/>
      <c r="AF115" s="378"/>
      <c r="AG115" s="378"/>
      <c r="AH115" s="378"/>
      <c r="AI115" s="379"/>
      <c r="AJ115" s="379"/>
      <c r="AK115" s="378"/>
      <c r="AL115" s="378"/>
      <c r="AM115" s="378"/>
      <c r="AN115" s="379"/>
      <c r="AO115" s="379"/>
      <c r="AP115" s="379"/>
      <c r="AQ115" s="378"/>
      <c r="AR115" s="378"/>
      <c r="AS115" s="378"/>
      <c r="AT115" s="378"/>
      <c r="AU115" s="380"/>
      <c r="AV115" s="381"/>
      <c r="AW115" s="381"/>
      <c r="AX115" s="382"/>
      <c r="AY115" s="383"/>
      <c r="AZ115" s="384"/>
      <c r="BA115" s="384"/>
      <c r="BB115" s="385"/>
      <c r="BC115" s="378"/>
      <c r="BD115" s="378"/>
      <c r="BE115" s="378"/>
      <c r="BF115" s="378"/>
      <c r="BG115" s="378"/>
      <c r="BH115" s="378"/>
      <c r="BI115" s="378"/>
      <c r="BJ115" s="378"/>
    </row>
    <row r="116" spans="3:62" ht="15" hidden="1" customHeight="1" x14ac:dyDescent="0.3">
      <c r="C116" s="379"/>
      <c r="D116" s="379"/>
      <c r="E116" s="379"/>
      <c r="F116" s="379"/>
      <c r="G116" s="379"/>
      <c r="H116" s="379"/>
      <c r="I116" s="379"/>
      <c r="J116" s="379"/>
      <c r="K116" s="379"/>
      <c r="L116" s="379"/>
      <c r="M116" s="379"/>
      <c r="N116" s="379"/>
      <c r="O116" s="379"/>
      <c r="P116" s="379"/>
      <c r="Q116" s="386"/>
      <c r="R116" s="387"/>
      <c r="S116" s="388"/>
      <c r="T116" s="386"/>
      <c r="U116" s="387"/>
      <c r="V116" s="387"/>
      <c r="W116" s="388"/>
      <c r="X116" s="379"/>
      <c r="Y116" s="379"/>
      <c r="Z116" s="379"/>
      <c r="AA116" s="379"/>
      <c r="AB116" s="378"/>
      <c r="AC116" s="378"/>
      <c r="AD116" s="378"/>
      <c r="AE116" s="378"/>
      <c r="AF116" s="378"/>
      <c r="AG116" s="378"/>
      <c r="AH116" s="378"/>
      <c r="AI116" s="379"/>
      <c r="AJ116" s="379"/>
      <c r="AK116" s="378"/>
      <c r="AL116" s="378"/>
      <c r="AM116" s="378"/>
      <c r="AN116" s="379"/>
      <c r="AO116" s="379"/>
      <c r="AP116" s="379"/>
      <c r="AQ116" s="378"/>
      <c r="AR116" s="378"/>
      <c r="AS116" s="378"/>
      <c r="AT116" s="378"/>
      <c r="AU116" s="380"/>
      <c r="AV116" s="381"/>
      <c r="AW116" s="381"/>
      <c r="AX116" s="382"/>
      <c r="AY116" s="383"/>
      <c r="AZ116" s="384"/>
      <c r="BA116" s="384"/>
      <c r="BB116" s="385"/>
      <c r="BC116" s="378"/>
      <c r="BD116" s="378"/>
      <c r="BE116" s="378"/>
      <c r="BF116" s="378"/>
      <c r="BG116" s="378"/>
      <c r="BH116" s="378"/>
      <c r="BI116" s="378"/>
      <c r="BJ116" s="378"/>
    </row>
    <row r="117" spans="3:62" ht="8.25" customHeight="1" x14ac:dyDescent="0.3"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280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</row>
    <row r="118" spans="3:62" s="136" customFormat="1" ht="30.9" customHeight="1" x14ac:dyDescent="0.3">
      <c r="C118" s="771" t="s">
        <v>117</v>
      </c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  <c r="Z118" s="772"/>
      <c r="AA118" s="772"/>
      <c r="AB118" s="772"/>
      <c r="AC118" s="772"/>
      <c r="AD118" s="772"/>
      <c r="AE118" s="772"/>
      <c r="AF118" s="772"/>
      <c r="AG118" s="772"/>
      <c r="AH118" s="772"/>
      <c r="AI118" s="772"/>
      <c r="AJ118" s="772"/>
      <c r="AK118" s="772"/>
      <c r="AL118" s="772"/>
      <c r="AM118" s="772"/>
      <c r="AN118" s="772"/>
      <c r="AO118" s="772"/>
      <c r="AP118" s="772"/>
      <c r="AQ118" s="772"/>
      <c r="AR118" s="772"/>
      <c r="AS118" s="772"/>
      <c r="AT118" s="772"/>
      <c r="AU118" s="772"/>
      <c r="AV118" s="772"/>
      <c r="AW118" s="772"/>
      <c r="AX118" s="772"/>
      <c r="AY118" s="772"/>
      <c r="AZ118" s="772"/>
      <c r="BA118" s="772"/>
      <c r="BB118" s="772"/>
      <c r="BC118" s="772"/>
      <c r="BD118" s="772"/>
      <c r="BE118" s="772"/>
      <c r="BF118" s="772"/>
      <c r="BG118" s="772"/>
      <c r="BH118" s="772"/>
      <c r="BI118" s="772"/>
      <c r="BJ118" s="773"/>
    </row>
    <row r="119" spans="3:62" s="136" customFormat="1" ht="39.75" customHeight="1" x14ac:dyDescent="0.3">
      <c r="C119" s="774" t="s">
        <v>99</v>
      </c>
      <c r="D119" s="774"/>
      <c r="E119" s="774"/>
      <c r="F119" s="774"/>
      <c r="G119" s="774"/>
      <c r="H119" s="774"/>
      <c r="I119" s="774"/>
      <c r="J119" s="774"/>
      <c r="K119" s="774"/>
      <c r="L119" s="768" t="s">
        <v>118</v>
      </c>
      <c r="M119" s="769"/>
      <c r="N119" s="769"/>
      <c r="O119" s="769"/>
      <c r="P119" s="769"/>
      <c r="Q119" s="770"/>
      <c r="R119" s="768" t="s">
        <v>119</v>
      </c>
      <c r="S119" s="769"/>
      <c r="T119" s="769"/>
      <c r="U119" s="769"/>
      <c r="V119" s="770"/>
      <c r="W119" s="774" t="s">
        <v>120</v>
      </c>
      <c r="X119" s="774"/>
      <c r="Y119" s="774"/>
      <c r="Z119" s="774"/>
      <c r="AA119" s="774"/>
      <c r="AB119" s="774"/>
      <c r="AC119" s="774" t="s">
        <v>121</v>
      </c>
      <c r="AD119" s="774"/>
      <c r="AE119" s="774"/>
      <c r="AF119" s="774"/>
      <c r="AG119" s="774"/>
      <c r="AH119" s="774"/>
      <c r="AI119" s="724" t="s">
        <v>122</v>
      </c>
      <c r="AJ119" s="725"/>
      <c r="AK119" s="725"/>
      <c r="AL119" s="725"/>
      <c r="AM119" s="726"/>
      <c r="AN119" s="724" t="s">
        <v>123</v>
      </c>
      <c r="AO119" s="725"/>
      <c r="AP119" s="725"/>
      <c r="AQ119" s="726"/>
      <c r="AR119" s="724" t="s">
        <v>106</v>
      </c>
      <c r="AS119" s="725"/>
      <c r="AT119" s="725"/>
      <c r="AU119" s="726"/>
      <c r="AV119" s="768" t="s">
        <v>124</v>
      </c>
      <c r="AW119" s="769"/>
      <c r="AX119" s="769"/>
      <c r="AY119" s="770"/>
      <c r="AZ119" s="724" t="s">
        <v>125</v>
      </c>
      <c r="BA119" s="725"/>
      <c r="BB119" s="725"/>
      <c r="BC119" s="726"/>
      <c r="BD119" s="724" t="s">
        <v>111</v>
      </c>
      <c r="BE119" s="725"/>
      <c r="BF119" s="725"/>
      <c r="BG119" s="725"/>
      <c r="BH119" s="725"/>
      <c r="BI119" s="725"/>
      <c r="BJ119" s="726"/>
    </row>
    <row r="120" spans="3:62" ht="30" customHeight="1" x14ac:dyDescent="0.3">
      <c r="C120" s="824" t="s">
        <v>126</v>
      </c>
      <c r="D120" s="824"/>
      <c r="E120" s="824"/>
      <c r="F120" s="824"/>
      <c r="G120" s="824"/>
      <c r="H120" s="824"/>
      <c r="I120" s="824"/>
      <c r="J120" s="824"/>
      <c r="K120" s="824"/>
      <c r="L120" s="808" t="s">
        <v>127</v>
      </c>
      <c r="M120" s="809"/>
      <c r="N120" s="809"/>
      <c r="O120" s="809"/>
      <c r="P120" s="809"/>
      <c r="Q120" s="810"/>
      <c r="R120" s="808" t="s">
        <v>128</v>
      </c>
      <c r="S120" s="809"/>
      <c r="T120" s="809"/>
      <c r="U120" s="809"/>
      <c r="V120" s="810"/>
      <c r="W120" s="824" t="s">
        <v>129</v>
      </c>
      <c r="X120" s="824"/>
      <c r="Y120" s="824"/>
      <c r="Z120" s="824"/>
      <c r="AA120" s="824"/>
      <c r="AB120" s="824"/>
      <c r="AC120" s="824" t="s">
        <v>130</v>
      </c>
      <c r="AD120" s="824"/>
      <c r="AE120" s="824"/>
      <c r="AF120" s="824"/>
      <c r="AG120" s="824"/>
      <c r="AH120" s="824"/>
      <c r="AI120" s="825">
        <v>0.8</v>
      </c>
      <c r="AJ120" s="826"/>
      <c r="AK120" s="826"/>
      <c r="AL120" s="826"/>
      <c r="AM120" s="827"/>
      <c r="AN120" s="825">
        <v>0.95</v>
      </c>
      <c r="AO120" s="826"/>
      <c r="AP120" s="826"/>
      <c r="AQ120" s="827"/>
      <c r="AR120" s="808" t="s">
        <v>131</v>
      </c>
      <c r="AS120" s="809"/>
      <c r="AT120" s="809"/>
      <c r="AU120" s="810"/>
      <c r="AV120" s="808" t="s">
        <v>132</v>
      </c>
      <c r="AW120" s="809"/>
      <c r="AX120" s="809"/>
      <c r="AY120" s="810"/>
      <c r="AZ120" s="808">
        <v>8</v>
      </c>
      <c r="BA120" s="809"/>
      <c r="BB120" s="809"/>
      <c r="BC120" s="810"/>
      <c r="BD120" s="811" t="s">
        <v>133</v>
      </c>
      <c r="BE120" s="812"/>
      <c r="BF120" s="812"/>
      <c r="BG120" s="812"/>
      <c r="BH120" s="812"/>
      <c r="BI120" s="812"/>
      <c r="BJ120" s="813"/>
    </row>
    <row r="121" spans="3:62" ht="30" customHeight="1" x14ac:dyDescent="0.3">
      <c r="C121" s="814"/>
      <c r="D121" s="814"/>
      <c r="E121" s="814"/>
      <c r="F121" s="814"/>
      <c r="G121" s="814"/>
      <c r="H121" s="814"/>
      <c r="I121" s="814"/>
      <c r="J121" s="814"/>
      <c r="K121" s="814"/>
      <c r="L121" s="815"/>
      <c r="M121" s="816"/>
      <c r="N121" s="816"/>
      <c r="O121" s="816"/>
      <c r="P121" s="816"/>
      <c r="Q121" s="817"/>
      <c r="R121" s="815"/>
      <c r="S121" s="816"/>
      <c r="T121" s="816"/>
      <c r="U121" s="816"/>
      <c r="V121" s="817"/>
      <c r="W121" s="814"/>
      <c r="X121" s="814"/>
      <c r="Y121" s="814"/>
      <c r="Z121" s="814"/>
      <c r="AA121" s="814"/>
      <c r="AB121" s="814"/>
      <c r="AC121" s="814"/>
      <c r="AD121" s="814"/>
      <c r="AE121" s="814"/>
      <c r="AF121" s="814"/>
      <c r="AG121" s="814"/>
      <c r="AH121" s="814"/>
      <c r="AI121" s="818"/>
      <c r="AJ121" s="819"/>
      <c r="AK121" s="819"/>
      <c r="AL121" s="819"/>
      <c r="AM121" s="820"/>
      <c r="AN121" s="818"/>
      <c r="AO121" s="819"/>
      <c r="AP121" s="819"/>
      <c r="AQ121" s="820"/>
      <c r="AR121" s="815"/>
      <c r="AS121" s="816"/>
      <c r="AT121" s="816"/>
      <c r="AU121" s="817"/>
      <c r="AV121" s="815"/>
      <c r="AW121" s="816"/>
      <c r="AX121" s="816"/>
      <c r="AY121" s="817"/>
      <c r="AZ121" s="815"/>
      <c r="BA121" s="816"/>
      <c r="BB121" s="816"/>
      <c r="BC121" s="817"/>
      <c r="BD121" s="821"/>
      <c r="BE121" s="822"/>
      <c r="BF121" s="822"/>
      <c r="BG121" s="822"/>
      <c r="BH121" s="822"/>
      <c r="BI121" s="822"/>
      <c r="BJ121" s="823"/>
    </row>
    <row r="122" spans="3:62" ht="30" customHeight="1" x14ac:dyDescent="0.3">
      <c r="C122" s="814"/>
      <c r="D122" s="814"/>
      <c r="E122" s="814"/>
      <c r="F122" s="814"/>
      <c r="G122" s="814"/>
      <c r="H122" s="814"/>
      <c r="I122" s="814"/>
      <c r="J122" s="814"/>
      <c r="K122" s="814"/>
      <c r="L122" s="815"/>
      <c r="M122" s="816"/>
      <c r="N122" s="816"/>
      <c r="O122" s="816"/>
      <c r="P122" s="816"/>
      <c r="Q122" s="817"/>
      <c r="R122" s="815"/>
      <c r="S122" s="816"/>
      <c r="T122" s="816"/>
      <c r="U122" s="816"/>
      <c r="V122" s="817"/>
      <c r="W122" s="814"/>
      <c r="X122" s="814"/>
      <c r="Y122" s="814"/>
      <c r="Z122" s="814"/>
      <c r="AA122" s="814"/>
      <c r="AB122" s="814"/>
      <c r="AC122" s="814"/>
      <c r="AD122" s="814"/>
      <c r="AE122" s="814"/>
      <c r="AF122" s="814"/>
      <c r="AG122" s="814"/>
      <c r="AH122" s="814"/>
      <c r="AI122" s="818"/>
      <c r="AJ122" s="819"/>
      <c r="AK122" s="819"/>
      <c r="AL122" s="819"/>
      <c r="AM122" s="820"/>
      <c r="AN122" s="818"/>
      <c r="AO122" s="819"/>
      <c r="AP122" s="819"/>
      <c r="AQ122" s="820"/>
      <c r="AR122" s="815"/>
      <c r="AS122" s="816"/>
      <c r="AT122" s="816"/>
      <c r="AU122" s="817"/>
      <c r="AV122" s="815"/>
      <c r="AW122" s="816"/>
      <c r="AX122" s="816"/>
      <c r="AY122" s="817"/>
      <c r="AZ122" s="815"/>
      <c r="BA122" s="816"/>
      <c r="BB122" s="816"/>
      <c r="BC122" s="817"/>
      <c r="BD122" s="821"/>
      <c r="BE122" s="822"/>
      <c r="BF122" s="822"/>
      <c r="BG122" s="822"/>
      <c r="BH122" s="822"/>
      <c r="BI122" s="822"/>
      <c r="BJ122" s="823"/>
    </row>
    <row r="123" spans="3:62" ht="30" customHeight="1" x14ac:dyDescent="0.3">
      <c r="C123" s="814"/>
      <c r="D123" s="814"/>
      <c r="E123" s="814"/>
      <c r="F123" s="814"/>
      <c r="G123" s="814"/>
      <c r="H123" s="814"/>
      <c r="I123" s="814"/>
      <c r="J123" s="814"/>
      <c r="K123" s="814"/>
      <c r="L123" s="815"/>
      <c r="M123" s="816"/>
      <c r="N123" s="816"/>
      <c r="O123" s="816"/>
      <c r="P123" s="816"/>
      <c r="Q123" s="817"/>
      <c r="R123" s="815"/>
      <c r="S123" s="816"/>
      <c r="T123" s="816"/>
      <c r="U123" s="816"/>
      <c r="V123" s="817"/>
      <c r="W123" s="814"/>
      <c r="X123" s="814"/>
      <c r="Y123" s="814"/>
      <c r="Z123" s="814"/>
      <c r="AA123" s="814"/>
      <c r="AB123" s="814"/>
      <c r="AC123" s="814"/>
      <c r="AD123" s="814"/>
      <c r="AE123" s="814"/>
      <c r="AF123" s="814"/>
      <c r="AG123" s="814"/>
      <c r="AH123" s="814"/>
      <c r="AI123" s="818"/>
      <c r="AJ123" s="819"/>
      <c r="AK123" s="819"/>
      <c r="AL123" s="819"/>
      <c r="AM123" s="820"/>
      <c r="AN123" s="818"/>
      <c r="AO123" s="819"/>
      <c r="AP123" s="819"/>
      <c r="AQ123" s="820"/>
      <c r="AR123" s="815"/>
      <c r="AS123" s="816"/>
      <c r="AT123" s="816"/>
      <c r="AU123" s="817"/>
      <c r="AV123" s="815"/>
      <c r="AW123" s="816"/>
      <c r="AX123" s="816"/>
      <c r="AY123" s="817"/>
      <c r="AZ123" s="815"/>
      <c r="BA123" s="816"/>
      <c r="BB123" s="816"/>
      <c r="BC123" s="817"/>
      <c r="BD123" s="821"/>
      <c r="BE123" s="822"/>
      <c r="BF123" s="822"/>
      <c r="BG123" s="822"/>
      <c r="BH123" s="822"/>
      <c r="BI123" s="822"/>
      <c r="BJ123" s="823"/>
    </row>
    <row r="124" spans="3:62" ht="30" customHeight="1" x14ac:dyDescent="0.3">
      <c r="C124" s="814"/>
      <c r="D124" s="814"/>
      <c r="E124" s="814"/>
      <c r="F124" s="814"/>
      <c r="G124" s="814"/>
      <c r="H124" s="814"/>
      <c r="I124" s="814"/>
      <c r="J124" s="814"/>
      <c r="K124" s="814"/>
      <c r="L124" s="815"/>
      <c r="M124" s="816"/>
      <c r="N124" s="816"/>
      <c r="O124" s="816"/>
      <c r="P124" s="816"/>
      <c r="Q124" s="817"/>
      <c r="R124" s="815"/>
      <c r="S124" s="816"/>
      <c r="T124" s="816"/>
      <c r="U124" s="816"/>
      <c r="V124" s="817"/>
      <c r="W124" s="814"/>
      <c r="X124" s="814"/>
      <c r="Y124" s="814"/>
      <c r="Z124" s="814"/>
      <c r="AA124" s="814"/>
      <c r="AB124" s="814"/>
      <c r="AC124" s="814"/>
      <c r="AD124" s="814"/>
      <c r="AE124" s="814"/>
      <c r="AF124" s="814"/>
      <c r="AG124" s="814"/>
      <c r="AH124" s="814"/>
      <c r="AI124" s="818"/>
      <c r="AJ124" s="819"/>
      <c r="AK124" s="819"/>
      <c r="AL124" s="819"/>
      <c r="AM124" s="820"/>
      <c r="AN124" s="818"/>
      <c r="AO124" s="819"/>
      <c r="AP124" s="819"/>
      <c r="AQ124" s="820"/>
      <c r="AR124" s="815"/>
      <c r="AS124" s="816"/>
      <c r="AT124" s="816"/>
      <c r="AU124" s="817"/>
      <c r="AV124" s="815"/>
      <c r="AW124" s="816"/>
      <c r="AX124" s="816"/>
      <c r="AY124" s="817"/>
      <c r="AZ124" s="815"/>
      <c r="BA124" s="816"/>
      <c r="BB124" s="816"/>
      <c r="BC124" s="817"/>
      <c r="BD124" s="821"/>
      <c r="BE124" s="822"/>
      <c r="BF124" s="822"/>
      <c r="BG124" s="822"/>
      <c r="BH124" s="822"/>
      <c r="BI124" s="822"/>
      <c r="BJ124" s="823"/>
    </row>
    <row r="125" spans="3:62" ht="30" customHeight="1" x14ac:dyDescent="0.3">
      <c r="C125" s="814"/>
      <c r="D125" s="814"/>
      <c r="E125" s="814"/>
      <c r="F125" s="814"/>
      <c r="G125" s="814"/>
      <c r="H125" s="814"/>
      <c r="I125" s="814"/>
      <c r="J125" s="814"/>
      <c r="K125" s="814"/>
      <c r="L125" s="815"/>
      <c r="M125" s="816"/>
      <c r="N125" s="816"/>
      <c r="O125" s="816"/>
      <c r="P125" s="816"/>
      <c r="Q125" s="817"/>
      <c r="R125" s="815"/>
      <c r="S125" s="816"/>
      <c r="T125" s="816"/>
      <c r="U125" s="816"/>
      <c r="V125" s="817"/>
      <c r="W125" s="814"/>
      <c r="X125" s="814"/>
      <c r="Y125" s="814"/>
      <c r="Z125" s="814"/>
      <c r="AA125" s="814"/>
      <c r="AB125" s="814"/>
      <c r="AC125" s="814"/>
      <c r="AD125" s="814"/>
      <c r="AE125" s="814"/>
      <c r="AF125" s="814"/>
      <c r="AG125" s="814"/>
      <c r="AH125" s="814"/>
      <c r="AI125" s="818"/>
      <c r="AJ125" s="819"/>
      <c r="AK125" s="819"/>
      <c r="AL125" s="819"/>
      <c r="AM125" s="820"/>
      <c r="AN125" s="818"/>
      <c r="AO125" s="819"/>
      <c r="AP125" s="819"/>
      <c r="AQ125" s="820"/>
      <c r="AR125" s="815"/>
      <c r="AS125" s="816"/>
      <c r="AT125" s="816"/>
      <c r="AU125" s="817"/>
      <c r="AV125" s="815"/>
      <c r="AW125" s="816"/>
      <c r="AX125" s="816"/>
      <c r="AY125" s="817"/>
      <c r="AZ125" s="815"/>
      <c r="BA125" s="816"/>
      <c r="BB125" s="816"/>
      <c r="BC125" s="817"/>
      <c r="BD125" s="821"/>
      <c r="BE125" s="822"/>
      <c r="BF125" s="822"/>
      <c r="BG125" s="822"/>
      <c r="BH125" s="822"/>
      <c r="BI125" s="822"/>
      <c r="BJ125" s="823"/>
    </row>
    <row r="126" spans="3:62" ht="30" customHeight="1" x14ac:dyDescent="0.3">
      <c r="C126" s="814"/>
      <c r="D126" s="814"/>
      <c r="E126" s="814"/>
      <c r="F126" s="814"/>
      <c r="G126" s="814"/>
      <c r="H126" s="814"/>
      <c r="I126" s="814"/>
      <c r="J126" s="814"/>
      <c r="K126" s="814"/>
      <c r="L126" s="815"/>
      <c r="M126" s="816"/>
      <c r="N126" s="816"/>
      <c r="O126" s="816"/>
      <c r="P126" s="816"/>
      <c r="Q126" s="817"/>
      <c r="R126" s="815"/>
      <c r="S126" s="816"/>
      <c r="T126" s="816"/>
      <c r="U126" s="816"/>
      <c r="V126" s="817"/>
      <c r="W126" s="814"/>
      <c r="X126" s="814"/>
      <c r="Y126" s="814"/>
      <c r="Z126" s="814"/>
      <c r="AA126" s="814"/>
      <c r="AB126" s="814"/>
      <c r="AC126" s="814"/>
      <c r="AD126" s="814"/>
      <c r="AE126" s="814"/>
      <c r="AF126" s="814"/>
      <c r="AG126" s="814"/>
      <c r="AH126" s="814"/>
      <c r="AI126" s="818"/>
      <c r="AJ126" s="819"/>
      <c r="AK126" s="819"/>
      <c r="AL126" s="819"/>
      <c r="AM126" s="820"/>
      <c r="AN126" s="818"/>
      <c r="AO126" s="819"/>
      <c r="AP126" s="819"/>
      <c r="AQ126" s="820"/>
      <c r="AR126" s="815"/>
      <c r="AS126" s="816"/>
      <c r="AT126" s="816"/>
      <c r="AU126" s="817"/>
      <c r="AV126" s="815"/>
      <c r="AW126" s="816"/>
      <c r="AX126" s="816"/>
      <c r="AY126" s="817"/>
      <c r="AZ126" s="815"/>
      <c r="BA126" s="816"/>
      <c r="BB126" s="816"/>
      <c r="BC126" s="817"/>
      <c r="BD126" s="821"/>
      <c r="BE126" s="822"/>
      <c r="BF126" s="822"/>
      <c r="BG126" s="822"/>
      <c r="BH126" s="822"/>
      <c r="BI126" s="822"/>
      <c r="BJ126" s="823"/>
    </row>
    <row r="127" spans="3:62" ht="30" customHeight="1" x14ac:dyDescent="0.3">
      <c r="C127" s="814"/>
      <c r="D127" s="814"/>
      <c r="E127" s="814"/>
      <c r="F127" s="814"/>
      <c r="G127" s="814"/>
      <c r="H127" s="814"/>
      <c r="I127" s="814"/>
      <c r="J127" s="814"/>
      <c r="K127" s="814"/>
      <c r="L127" s="815"/>
      <c r="M127" s="816"/>
      <c r="N127" s="816"/>
      <c r="O127" s="816"/>
      <c r="P127" s="816"/>
      <c r="Q127" s="817"/>
      <c r="R127" s="815"/>
      <c r="S127" s="816"/>
      <c r="T127" s="816"/>
      <c r="U127" s="816"/>
      <c r="V127" s="817"/>
      <c r="W127" s="814"/>
      <c r="X127" s="814"/>
      <c r="Y127" s="814"/>
      <c r="Z127" s="814"/>
      <c r="AA127" s="814"/>
      <c r="AB127" s="814"/>
      <c r="AC127" s="814"/>
      <c r="AD127" s="814"/>
      <c r="AE127" s="814"/>
      <c r="AF127" s="814"/>
      <c r="AG127" s="814"/>
      <c r="AH127" s="814"/>
      <c r="AI127" s="818"/>
      <c r="AJ127" s="819"/>
      <c r="AK127" s="819"/>
      <c r="AL127" s="819"/>
      <c r="AM127" s="820"/>
      <c r="AN127" s="818"/>
      <c r="AO127" s="819"/>
      <c r="AP127" s="819"/>
      <c r="AQ127" s="820"/>
      <c r="AR127" s="815"/>
      <c r="AS127" s="816"/>
      <c r="AT127" s="816"/>
      <c r="AU127" s="817"/>
      <c r="AV127" s="815"/>
      <c r="AW127" s="816"/>
      <c r="AX127" s="816"/>
      <c r="AY127" s="817"/>
      <c r="AZ127" s="815"/>
      <c r="BA127" s="816"/>
      <c r="BB127" s="816"/>
      <c r="BC127" s="817"/>
      <c r="BD127" s="821"/>
      <c r="BE127" s="822"/>
      <c r="BF127" s="822"/>
      <c r="BG127" s="822"/>
      <c r="BH127" s="822"/>
      <c r="BI127" s="822"/>
      <c r="BJ127" s="823"/>
    </row>
    <row r="128" spans="3:62" ht="30" customHeight="1" x14ac:dyDescent="0.3">
      <c r="C128" s="814"/>
      <c r="D128" s="814"/>
      <c r="E128" s="814"/>
      <c r="F128" s="814"/>
      <c r="G128" s="814"/>
      <c r="H128" s="814"/>
      <c r="I128" s="814"/>
      <c r="J128" s="814"/>
      <c r="K128" s="814"/>
      <c r="L128" s="815"/>
      <c r="M128" s="816"/>
      <c r="N128" s="816"/>
      <c r="O128" s="816"/>
      <c r="P128" s="816"/>
      <c r="Q128" s="817"/>
      <c r="R128" s="815"/>
      <c r="S128" s="816"/>
      <c r="T128" s="816"/>
      <c r="U128" s="816"/>
      <c r="V128" s="817"/>
      <c r="W128" s="814"/>
      <c r="X128" s="814"/>
      <c r="Y128" s="814"/>
      <c r="Z128" s="814"/>
      <c r="AA128" s="814"/>
      <c r="AB128" s="814"/>
      <c r="AC128" s="814"/>
      <c r="AD128" s="814"/>
      <c r="AE128" s="814"/>
      <c r="AF128" s="814"/>
      <c r="AG128" s="814"/>
      <c r="AH128" s="814"/>
      <c r="AI128" s="818"/>
      <c r="AJ128" s="819"/>
      <c r="AK128" s="819"/>
      <c r="AL128" s="819"/>
      <c r="AM128" s="820"/>
      <c r="AN128" s="818"/>
      <c r="AO128" s="819"/>
      <c r="AP128" s="819"/>
      <c r="AQ128" s="820"/>
      <c r="AR128" s="815"/>
      <c r="AS128" s="816"/>
      <c r="AT128" s="816"/>
      <c r="AU128" s="817"/>
      <c r="AV128" s="815"/>
      <c r="AW128" s="816"/>
      <c r="AX128" s="816"/>
      <c r="AY128" s="817"/>
      <c r="AZ128" s="815"/>
      <c r="BA128" s="816"/>
      <c r="BB128" s="816"/>
      <c r="BC128" s="817"/>
      <c r="BD128" s="821"/>
      <c r="BE128" s="822"/>
      <c r="BF128" s="822"/>
      <c r="BG128" s="822"/>
      <c r="BH128" s="822"/>
      <c r="BI128" s="822"/>
      <c r="BJ128" s="823"/>
    </row>
    <row r="129" spans="2:64" ht="30" customHeight="1" x14ac:dyDescent="0.3">
      <c r="C129" s="814"/>
      <c r="D129" s="814"/>
      <c r="E129" s="814"/>
      <c r="F129" s="814"/>
      <c r="G129" s="814"/>
      <c r="H129" s="814"/>
      <c r="I129" s="814"/>
      <c r="J129" s="814"/>
      <c r="K129" s="814"/>
      <c r="L129" s="815"/>
      <c r="M129" s="816"/>
      <c r="N129" s="816"/>
      <c r="O129" s="816"/>
      <c r="P129" s="816"/>
      <c r="Q129" s="817"/>
      <c r="R129" s="815"/>
      <c r="S129" s="816"/>
      <c r="T129" s="816"/>
      <c r="U129" s="816"/>
      <c r="V129" s="817"/>
      <c r="W129" s="814"/>
      <c r="X129" s="814"/>
      <c r="Y129" s="814"/>
      <c r="Z129" s="814"/>
      <c r="AA129" s="814"/>
      <c r="AB129" s="814"/>
      <c r="AC129" s="814"/>
      <c r="AD129" s="814"/>
      <c r="AE129" s="814"/>
      <c r="AF129" s="814"/>
      <c r="AG129" s="814"/>
      <c r="AH129" s="814"/>
      <c r="AI129" s="818"/>
      <c r="AJ129" s="819"/>
      <c r="AK129" s="819"/>
      <c r="AL129" s="819"/>
      <c r="AM129" s="820"/>
      <c r="AN129" s="818"/>
      <c r="AO129" s="819"/>
      <c r="AP129" s="819"/>
      <c r="AQ129" s="820"/>
      <c r="AR129" s="815"/>
      <c r="AS129" s="816"/>
      <c r="AT129" s="816"/>
      <c r="AU129" s="817"/>
      <c r="AV129" s="815"/>
      <c r="AW129" s="816"/>
      <c r="AX129" s="816"/>
      <c r="AY129" s="817"/>
      <c r="AZ129" s="815"/>
      <c r="BA129" s="816"/>
      <c r="BB129" s="816"/>
      <c r="BC129" s="817"/>
      <c r="BD129" s="821"/>
      <c r="BE129" s="822"/>
      <c r="BF129" s="822"/>
      <c r="BG129" s="822"/>
      <c r="BH129" s="822"/>
      <c r="BI129" s="822"/>
      <c r="BJ129" s="823"/>
    </row>
    <row r="130" spans="2:64" ht="15" customHeight="1" x14ac:dyDescent="0.3"/>
    <row r="131" spans="2:64" ht="20.100000000000001" customHeight="1" x14ac:dyDescent="0.3">
      <c r="B131" s="1"/>
      <c r="C131" s="462" t="s">
        <v>134</v>
      </c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503"/>
      <c r="R131" s="424" t="s">
        <v>135</v>
      </c>
      <c r="S131" s="425"/>
      <c r="T131" s="425"/>
      <c r="U131" s="425"/>
      <c r="V131" s="425"/>
      <c r="W131" s="425"/>
      <c r="X131" s="425"/>
      <c r="Y131" s="425"/>
      <c r="Z131" s="425"/>
      <c r="AA131" s="425"/>
      <c r="AB131" s="425"/>
      <c r="AC131" s="425"/>
      <c r="AD131" s="425"/>
      <c r="AE131" s="425"/>
      <c r="AF131" s="426"/>
      <c r="AG131" s="644">
        <f>H101</f>
        <v>0</v>
      </c>
      <c r="AH131" s="644"/>
      <c r="AI131" s="644"/>
      <c r="AJ131" s="644"/>
      <c r="AK131" s="645"/>
      <c r="AL131" s="421" t="s">
        <v>136</v>
      </c>
      <c r="AM131" s="422"/>
      <c r="AN131" s="422"/>
      <c r="AO131" s="422"/>
      <c r="AP131" s="422"/>
      <c r="AQ131" s="422"/>
      <c r="AR131" s="422"/>
      <c r="AS131" s="422"/>
      <c r="AT131" s="422"/>
      <c r="AU131" s="422"/>
      <c r="AV131" s="422"/>
      <c r="AW131" s="422"/>
      <c r="AX131" s="422"/>
      <c r="AY131" s="422"/>
      <c r="AZ131" s="422"/>
      <c r="BA131" s="423"/>
      <c r="BB131" s="418"/>
      <c r="BC131" s="419"/>
      <c r="BD131" s="419"/>
      <c r="BE131" s="419"/>
      <c r="BF131" s="419"/>
      <c r="BG131" s="419"/>
      <c r="BH131" s="419"/>
      <c r="BI131" s="419"/>
      <c r="BJ131" s="420"/>
      <c r="BK131" s="83"/>
      <c r="BL131" s="83"/>
    </row>
    <row r="132" spans="2:64" ht="20.100000000000001" customHeight="1" x14ac:dyDescent="0.3">
      <c r="B132" s="1"/>
      <c r="C132" s="504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6"/>
      <c r="R132" s="424" t="s">
        <v>137</v>
      </c>
      <c r="S132" s="425"/>
      <c r="T132" s="425"/>
      <c r="U132" s="425"/>
      <c r="V132" s="425"/>
      <c r="W132" s="425"/>
      <c r="X132" s="425"/>
      <c r="Y132" s="425"/>
      <c r="Z132" s="425"/>
      <c r="AA132" s="425"/>
      <c r="AB132" s="425"/>
      <c r="AC132" s="425"/>
      <c r="AD132" s="425"/>
      <c r="AE132" s="425"/>
      <c r="AF132" s="426"/>
      <c r="AG132" s="436">
        <f>M101</f>
        <v>0</v>
      </c>
      <c r="AH132" s="437"/>
      <c r="AI132" s="437"/>
      <c r="AJ132" s="437"/>
      <c r="AK132" s="438"/>
      <c r="AL132" s="409"/>
      <c r="AM132" s="410"/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1"/>
      <c r="BK132" s="23"/>
      <c r="BL132" s="21"/>
    </row>
    <row r="133" spans="2:64" ht="6" customHeight="1" x14ac:dyDescent="0.3"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80"/>
      <c r="AI133" s="280"/>
      <c r="AJ133" s="280"/>
      <c r="AK133" s="280"/>
      <c r="AL133" s="280"/>
      <c r="AM133" s="280"/>
      <c r="AN133" s="280"/>
      <c r="AO133" s="280"/>
      <c r="AP133" s="280"/>
      <c r="AQ133" s="280"/>
      <c r="AR133" s="280"/>
      <c r="AS133" s="280"/>
      <c r="AT133" s="280"/>
      <c r="AU133" s="280"/>
      <c r="AV133" s="280"/>
      <c r="AW133" s="280"/>
      <c r="AX133" s="280"/>
      <c r="AY133" s="280"/>
      <c r="AZ133" s="280"/>
      <c r="BA133" s="280"/>
      <c r="BB133" s="280"/>
      <c r="BC133" s="280"/>
      <c r="BD133" s="280"/>
      <c r="BE133" s="280"/>
      <c r="BF133" s="280"/>
      <c r="BG133" s="280"/>
      <c r="BH133" s="280"/>
      <c r="BI133" s="280"/>
      <c r="BJ133" s="280"/>
    </row>
    <row r="134" spans="2:64" ht="20.100000000000001" customHeight="1" x14ac:dyDescent="0.3">
      <c r="B134" s="1"/>
      <c r="C134" s="462" t="s">
        <v>138</v>
      </c>
      <c r="D134" s="463"/>
      <c r="E134" s="463"/>
      <c r="F134" s="463"/>
      <c r="G134" s="463"/>
      <c r="H134" s="463"/>
      <c r="I134" s="463"/>
      <c r="J134" s="463"/>
      <c r="K134" s="463"/>
      <c r="L134" s="463"/>
      <c r="M134" s="463"/>
      <c r="N134" s="463"/>
      <c r="O134" s="463"/>
      <c r="P134" s="463"/>
      <c r="Q134" s="464"/>
      <c r="R134" s="439" t="s">
        <v>139</v>
      </c>
      <c r="S134" s="439"/>
      <c r="T134" s="439"/>
      <c r="U134" s="439"/>
      <c r="V134" s="439"/>
      <c r="W134" s="439"/>
      <c r="X134" s="439"/>
      <c r="Y134" s="439"/>
      <c r="Z134" s="439"/>
      <c r="AA134" s="439"/>
      <c r="AB134" s="439"/>
      <c r="AC134" s="439"/>
      <c r="AD134" s="440"/>
      <c r="AE134" s="412"/>
      <c r="AF134" s="413"/>
      <c r="AG134" s="413"/>
      <c r="AH134" s="413"/>
      <c r="AI134" s="414"/>
      <c r="AJ134" s="651" t="s">
        <v>140</v>
      </c>
      <c r="AK134" s="652"/>
      <c r="AL134" s="652"/>
      <c r="AM134" s="652"/>
      <c r="AN134" s="653"/>
      <c r="AO134" s="415"/>
      <c r="AP134" s="416"/>
      <c r="AQ134" s="416"/>
      <c r="AR134" s="417"/>
      <c r="AS134" s="641" t="s">
        <v>141</v>
      </c>
      <c r="AT134" s="642"/>
      <c r="AU134" s="642"/>
      <c r="AV134" s="642"/>
      <c r="AW134" s="642"/>
      <c r="AX134" s="642"/>
      <c r="AY134" s="642"/>
      <c r="AZ134" s="642"/>
      <c r="BA134" s="642"/>
      <c r="BB134" s="642"/>
      <c r="BC134" s="642"/>
      <c r="BD134" s="642"/>
      <c r="BE134" s="642"/>
      <c r="BF134" s="642"/>
      <c r="BG134" s="643"/>
      <c r="BH134" s="418"/>
      <c r="BI134" s="419"/>
      <c r="BJ134" s="420"/>
      <c r="BK134" s="23"/>
      <c r="BL134" s="23" t="s">
        <v>142</v>
      </c>
    </row>
    <row r="135" spans="2:64" ht="20.100000000000001" customHeight="1" x14ac:dyDescent="0.3">
      <c r="B135" s="1"/>
      <c r="C135" s="465"/>
      <c r="D135" s="466"/>
      <c r="E135" s="466"/>
      <c r="F135" s="466"/>
      <c r="G135" s="466"/>
      <c r="H135" s="466"/>
      <c r="I135" s="466"/>
      <c r="J135" s="466"/>
      <c r="K135" s="466"/>
      <c r="L135" s="466"/>
      <c r="M135" s="466"/>
      <c r="N135" s="466"/>
      <c r="O135" s="466"/>
      <c r="P135" s="466"/>
      <c r="Q135" s="467"/>
      <c r="R135" s="439" t="s">
        <v>143</v>
      </c>
      <c r="S135" s="439"/>
      <c r="T135" s="439"/>
      <c r="U135" s="439"/>
      <c r="V135" s="439"/>
      <c r="W135" s="439"/>
      <c r="X135" s="439"/>
      <c r="Y135" s="439"/>
      <c r="Z135" s="439"/>
      <c r="AA135" s="439"/>
      <c r="AB135" s="439"/>
      <c r="AC135" s="439"/>
      <c r="AD135" s="440"/>
      <c r="AE135" s="441">
        <f>H101</f>
        <v>0</v>
      </c>
      <c r="AF135" s="442"/>
      <c r="AG135" s="442"/>
      <c r="AH135" s="442"/>
      <c r="AI135" s="443"/>
      <c r="AJ135" s="651" t="s">
        <v>144</v>
      </c>
      <c r="AK135" s="652"/>
      <c r="AL135" s="652"/>
      <c r="AM135" s="652"/>
      <c r="AN135" s="653"/>
      <c r="AO135" s="654">
        <f>M101</f>
        <v>0</v>
      </c>
      <c r="AP135" s="655"/>
      <c r="AQ135" s="655"/>
      <c r="AR135" s="656"/>
      <c r="AS135" s="399"/>
      <c r="AT135" s="473"/>
      <c r="AU135" s="473"/>
      <c r="AV135" s="473"/>
      <c r="AW135" s="473"/>
      <c r="AX135" s="473"/>
      <c r="AY135" s="473"/>
      <c r="AZ135" s="473"/>
      <c r="BA135" s="473"/>
      <c r="BB135" s="473"/>
      <c r="BC135" s="473"/>
      <c r="BD135" s="473"/>
      <c r="BE135" s="473"/>
      <c r="BF135" s="473"/>
      <c r="BG135" s="473"/>
      <c r="BH135" s="473"/>
      <c r="BI135" s="473"/>
      <c r="BJ135" s="400"/>
      <c r="BK135" s="83"/>
      <c r="BL135" s="23"/>
    </row>
    <row r="136" spans="2:64" ht="20.100000000000001" customHeight="1" x14ac:dyDescent="0.3">
      <c r="B136" s="1"/>
      <c r="C136" s="468"/>
      <c r="D136" s="469"/>
      <c r="E136" s="469"/>
      <c r="F136" s="469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70"/>
      <c r="R136" s="439" t="s">
        <v>136</v>
      </c>
      <c r="S136" s="439"/>
      <c r="T136" s="439"/>
      <c r="U136" s="439"/>
      <c r="V136" s="439"/>
      <c r="W136" s="439"/>
      <c r="X136" s="439"/>
      <c r="Y136" s="439"/>
      <c r="Z136" s="439"/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40"/>
      <c r="AM136" s="436" t="str">
        <f>IF(BH134="Sim","De:",IF(OR(BH134="Não",BH134=""),"Atual:",""))</f>
        <v>Atual:</v>
      </c>
      <c r="AN136" s="437"/>
      <c r="AO136" s="438"/>
      <c r="AP136" s="638"/>
      <c r="AQ136" s="639"/>
      <c r="AR136" s="639"/>
      <c r="AS136" s="639"/>
      <c r="AT136" s="639"/>
      <c r="AU136" s="639"/>
      <c r="AV136" s="639"/>
      <c r="AW136" s="639"/>
      <c r="AX136" s="640"/>
      <c r="AY136" s="517" t="str">
        <f>IF(BH134="Sim","Para:","")</f>
        <v/>
      </c>
      <c r="AZ136" s="518"/>
      <c r="BA136" s="518"/>
      <c r="BB136" s="418"/>
      <c r="BC136" s="419"/>
      <c r="BD136" s="419"/>
      <c r="BE136" s="419"/>
      <c r="BF136" s="419"/>
      <c r="BG136" s="419"/>
      <c r="BH136" s="419"/>
      <c r="BI136" s="419"/>
      <c r="BJ136" s="420"/>
      <c r="BK136" s="83"/>
      <c r="BL136" s="23"/>
    </row>
    <row r="137" spans="2:64" ht="3.75" customHeight="1" x14ac:dyDescent="0.3"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  <c r="AJ137" s="28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I137" s="280"/>
      <c r="BJ137" s="280"/>
    </row>
    <row r="138" spans="2:64" ht="20.100000000000001" customHeight="1" x14ac:dyDescent="0.3">
      <c r="B138" s="1"/>
      <c r="C138" s="406" t="s">
        <v>145</v>
      </c>
      <c r="D138" s="407"/>
      <c r="E138" s="407"/>
      <c r="F138" s="407"/>
      <c r="G138" s="407"/>
      <c r="H138" s="407"/>
      <c r="I138" s="407"/>
      <c r="J138" s="407"/>
      <c r="K138" s="407"/>
      <c r="L138" s="407"/>
      <c r="M138" s="407"/>
      <c r="N138" s="407"/>
      <c r="O138" s="407"/>
      <c r="P138" s="407"/>
      <c r="Q138" s="407"/>
      <c r="R138" s="407"/>
      <c r="S138" s="407"/>
      <c r="T138" s="407"/>
      <c r="U138" s="407"/>
      <c r="V138" s="407"/>
      <c r="W138" s="407"/>
      <c r="X138" s="407"/>
      <c r="Y138" s="407"/>
      <c r="Z138" s="407"/>
      <c r="AA138" s="407"/>
      <c r="AB138" s="407"/>
      <c r="AC138" s="407"/>
      <c r="AD138" s="408"/>
      <c r="AE138" s="474"/>
      <c r="AF138" s="475"/>
      <c r="AG138" s="476"/>
      <c r="AH138" s="138"/>
      <c r="AI138" s="775"/>
      <c r="AJ138" s="775"/>
      <c r="AK138" s="775"/>
      <c r="AL138" s="775"/>
      <c r="AM138" s="775"/>
      <c r="AN138" s="775"/>
      <c r="AO138" s="775"/>
      <c r="AP138" s="775"/>
      <c r="AQ138" s="775"/>
      <c r="AR138" s="775"/>
      <c r="AS138" s="775"/>
      <c r="AT138" s="775"/>
      <c r="AU138" s="775"/>
      <c r="AV138" s="775"/>
      <c r="AW138" s="775"/>
      <c r="AX138" s="775"/>
      <c r="AY138" s="775"/>
      <c r="AZ138" s="775"/>
      <c r="BA138" s="775"/>
      <c r="BB138" s="775"/>
      <c r="BC138" s="775"/>
      <c r="BD138" s="775"/>
      <c r="BE138" s="775"/>
      <c r="BF138" s="775"/>
      <c r="BG138" s="775"/>
      <c r="BH138" s="775"/>
      <c r="BI138" s="775"/>
      <c r="BJ138" s="775"/>
      <c r="BK138" s="83"/>
      <c r="BL138" s="23"/>
    </row>
    <row r="139" spans="2:64" ht="2.1" customHeight="1" x14ac:dyDescent="0.3"/>
    <row r="140" spans="2:64" ht="2.1" customHeight="1" x14ac:dyDescent="0.3"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80"/>
      <c r="AI140" s="280"/>
      <c r="AJ140" s="280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280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280"/>
      <c r="BI140" s="280"/>
      <c r="BJ140" s="280"/>
    </row>
    <row r="141" spans="2:64" ht="37.5" customHeight="1" x14ac:dyDescent="0.3">
      <c r="B141" s="1"/>
      <c r="C141" s="477" t="str">
        <f>IF(AND(AE138="Sim",OR(AG131&gt;112.5,AE135&gt;112.5,AE134&gt;112.5)),"Conforme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141" s="478"/>
      <c r="E141" s="478"/>
      <c r="F141" s="478"/>
      <c r="G141" s="478"/>
      <c r="H141" s="478"/>
      <c r="I141" s="478"/>
      <c r="J141" s="478"/>
      <c r="K141" s="478"/>
      <c r="L141" s="478"/>
      <c r="M141" s="478"/>
      <c r="N141" s="478"/>
      <c r="O141" s="478"/>
      <c r="P141" s="478"/>
      <c r="Q141" s="478"/>
      <c r="R141" s="478"/>
      <c r="S141" s="478"/>
      <c r="T141" s="478"/>
      <c r="U141" s="478"/>
      <c r="V141" s="478"/>
      <c r="W141" s="478"/>
      <c r="X141" s="478"/>
      <c r="Y141" s="478"/>
      <c r="Z141" s="478"/>
      <c r="AA141" s="478"/>
      <c r="AB141" s="478"/>
      <c r="AC141" s="478"/>
      <c r="AD141" s="478"/>
      <c r="AE141" s="478"/>
      <c r="AF141" s="478"/>
      <c r="AG141" s="478"/>
      <c r="AH141" s="478"/>
      <c r="AI141" s="478"/>
      <c r="AJ141" s="478"/>
      <c r="AK141" s="478"/>
      <c r="AL141" s="478"/>
      <c r="AM141" s="478"/>
      <c r="AN141" s="478"/>
      <c r="AO141" s="478"/>
      <c r="AP141" s="478"/>
      <c r="AQ141" s="478"/>
      <c r="AR141" s="478"/>
      <c r="AS141" s="478"/>
      <c r="AT141" s="478"/>
      <c r="AU141" s="478"/>
      <c r="AV141" s="478"/>
      <c r="AW141" s="478"/>
      <c r="AX141" s="478"/>
      <c r="AY141" s="478"/>
      <c r="AZ141" s="478"/>
      <c r="BA141" s="478"/>
      <c r="BB141" s="478"/>
      <c r="BC141" s="478"/>
      <c r="BD141" s="478"/>
      <c r="BE141" s="478"/>
      <c r="BF141" s="478"/>
      <c r="BG141" s="478"/>
      <c r="BH141" s="478"/>
      <c r="BI141" s="478"/>
      <c r="BJ141" s="479"/>
      <c r="BK141" s="23"/>
      <c r="BL141" s="23"/>
    </row>
    <row r="142" spans="2:64" ht="5.4" customHeight="1" x14ac:dyDescent="0.3"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80"/>
      <c r="AI142" s="280"/>
      <c r="AJ142" s="280"/>
      <c r="AK142" s="280"/>
      <c r="AL142" s="280"/>
      <c r="AM142" s="280"/>
      <c r="AN142" s="280"/>
      <c r="AO142" s="280"/>
      <c r="AP142" s="280"/>
      <c r="AQ142" s="280"/>
      <c r="AR142" s="280"/>
      <c r="AS142" s="280"/>
      <c r="AT142" s="280"/>
      <c r="AU142" s="280"/>
      <c r="AV142" s="280"/>
      <c r="AW142" s="280"/>
      <c r="AX142" s="280"/>
      <c r="AY142" s="280"/>
      <c r="AZ142" s="280"/>
      <c r="BA142" s="280"/>
      <c r="BB142" s="280"/>
      <c r="BC142" s="280"/>
      <c r="BD142" s="280"/>
      <c r="BE142" s="280"/>
      <c r="BF142" s="280"/>
      <c r="BG142" s="280"/>
      <c r="BH142" s="280"/>
      <c r="BI142" s="280"/>
      <c r="BJ142" s="280"/>
    </row>
    <row r="143" spans="2:64" ht="15.6" x14ac:dyDescent="0.3">
      <c r="B143" s="1"/>
      <c r="C143" s="472" t="s">
        <v>146</v>
      </c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  <c r="S143" s="472"/>
      <c r="T143" s="472"/>
      <c r="U143" s="472"/>
      <c r="V143" s="472"/>
      <c r="W143" s="472"/>
      <c r="X143" s="472"/>
      <c r="Y143" s="472"/>
      <c r="Z143" s="472"/>
      <c r="AA143" s="471"/>
      <c r="AB143" s="471"/>
      <c r="AC143" s="471"/>
      <c r="AD143" s="471"/>
      <c r="AE143" s="471"/>
      <c r="AF143" s="399" t="s">
        <v>147</v>
      </c>
      <c r="AG143" s="473"/>
      <c r="AH143" s="473"/>
      <c r="AI143" s="473"/>
      <c r="AJ143" s="473"/>
      <c r="AK143" s="473"/>
      <c r="AL143" s="473"/>
      <c r="AM143" s="473"/>
      <c r="AN143" s="473"/>
      <c r="AO143" s="473"/>
      <c r="AP143" s="473"/>
      <c r="AQ143" s="400"/>
      <c r="AR143" s="471"/>
      <c r="AS143" s="471"/>
      <c r="AT143" s="471"/>
      <c r="AU143" s="480"/>
      <c r="AV143" s="481"/>
      <c r="AW143" s="481"/>
      <c r="AX143" s="481"/>
      <c r="AY143" s="481"/>
      <c r="AZ143" s="481"/>
      <c r="BA143" s="481"/>
      <c r="BB143" s="481"/>
      <c r="BC143" s="481"/>
      <c r="BD143" s="481"/>
      <c r="BE143" s="481"/>
      <c r="BF143" s="481"/>
      <c r="BG143" s="481"/>
      <c r="BH143" s="481"/>
      <c r="BI143" s="481"/>
      <c r="BJ143" s="482"/>
      <c r="BK143" s="23"/>
    </row>
    <row r="144" spans="2:64" ht="4.5" customHeight="1" x14ac:dyDescent="0.3"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0"/>
      <c r="AD144" s="280"/>
      <c r="AE144" s="280"/>
      <c r="AF144" s="280"/>
      <c r="AG144" s="280"/>
      <c r="AH144" s="280"/>
      <c r="AI144" s="280"/>
      <c r="AJ144" s="280"/>
      <c r="AK144" s="280"/>
      <c r="AL144" s="280"/>
      <c r="AM144" s="280"/>
      <c r="AN144" s="280"/>
      <c r="AO144" s="286"/>
      <c r="AP144" s="286"/>
      <c r="AQ144" s="286"/>
      <c r="AR144" s="280"/>
      <c r="AS144" s="280"/>
      <c r="AT144" s="280"/>
      <c r="AU144" s="280"/>
      <c r="AV144" s="280"/>
      <c r="AW144" s="280"/>
      <c r="AX144" s="280"/>
      <c r="AY144" s="280"/>
      <c r="AZ144" s="280"/>
      <c r="BA144" s="280"/>
      <c r="BB144" s="280"/>
      <c r="BC144" s="280"/>
      <c r="BD144" s="280"/>
      <c r="BE144" s="280"/>
      <c r="BF144" s="280"/>
      <c r="BG144" s="280"/>
      <c r="BH144" s="280"/>
      <c r="BI144" s="280"/>
      <c r="BJ144" s="280"/>
    </row>
    <row r="145" spans="2:63" ht="21" customHeight="1" x14ac:dyDescent="0.3">
      <c r="B145" s="1"/>
      <c r="C145" s="491" t="s">
        <v>148</v>
      </c>
      <c r="D145" s="492"/>
      <c r="E145" s="492"/>
      <c r="F145" s="492"/>
      <c r="G145" s="492"/>
      <c r="H145" s="492"/>
      <c r="I145" s="492"/>
      <c r="J145" s="492"/>
      <c r="K145" s="492"/>
      <c r="L145" s="492"/>
      <c r="M145" s="492"/>
      <c r="N145" s="492"/>
      <c r="O145" s="492"/>
      <c r="P145" s="493"/>
      <c r="Q145" s="259"/>
      <c r="R145" s="424" t="str">
        <f>IF(AND(CALCULOS!D83=1,CALCULOS!D84=1),"Demanda Atual:*",
IF(AND(CALCULOS!D83=0,CALCULOS!D84=1),"Informar demanda em kw:*",
IF(AND(CALCULOS!D83=0,CALCULOS!D85=1),"Demanda ponta:*",
IF(AND(CALCULOS!D83=1,CALCULOS!D85=1),"Demanda ponta atual:*",""))))</f>
        <v/>
      </c>
      <c r="S145" s="425"/>
      <c r="T145" s="425"/>
      <c r="U145" s="425"/>
      <c r="V145" s="425"/>
      <c r="W145" s="425"/>
      <c r="X145" s="425"/>
      <c r="Y145" s="425"/>
      <c r="Z145" s="425"/>
      <c r="AA145" s="425"/>
      <c r="AB145" s="425"/>
      <c r="AC145" s="425"/>
      <c r="AD145" s="426"/>
      <c r="AE145" s="280"/>
      <c r="AF145" s="709"/>
      <c r="AG145" s="709"/>
      <c r="AH145" s="709"/>
      <c r="AI145" s="709"/>
      <c r="AJ145" s="280"/>
      <c r="AK145" s="795" t="str">
        <f>IF(AND(CALCULOS!D83=1,CALCULOS!D84=1),"Demanda Futura:*",
IF(AND(CALCULOS!D83=0,CALCULOS!D84=1),"",
IF(AND(CALCULOS!D83=0,CALCULOS!D85=1),"",
IF(AND(CALCULOS!D83=1,CALCULOS!D85=1),"Ponta Futura:*",""))))</f>
        <v/>
      </c>
      <c r="AL145" s="796"/>
      <c r="AM145" s="796"/>
      <c r="AN145" s="796"/>
      <c r="AO145" s="796"/>
      <c r="AP145" s="796"/>
      <c r="AQ145" s="796"/>
      <c r="AR145" s="797"/>
      <c r="AS145" s="141"/>
      <c r="AT145" s="448"/>
      <c r="AU145" s="449"/>
      <c r="AV145" s="449"/>
      <c r="AW145" s="450"/>
      <c r="AX145" s="280"/>
      <c r="AY145" s="786" t="str">
        <f>IF(AF145=AT145,"Solicitação sem alteração de demanda de contrato!",
IF(AND($AD$34="Aumento de Demanda",AF145&gt;AT145),"Demanda futura deverá ser superior a demanda atual conforme a finalidade aumento de demanda, favor rever!",
IF(AND($AD$34="Redução de Demanda",AF145&lt;AT145),"Demanda futura deverá ser inferior a demanda atual conforme a finalidade redução de demanda, favor rever!",
"")))</f>
        <v>Solicitação sem alteração de demanda de contrato!</v>
      </c>
      <c r="AZ145" s="787"/>
      <c r="BA145" s="787"/>
      <c r="BB145" s="787"/>
      <c r="BC145" s="787"/>
      <c r="BD145" s="787"/>
      <c r="BE145" s="787"/>
      <c r="BF145" s="787"/>
      <c r="BG145" s="787"/>
      <c r="BH145" s="787"/>
      <c r="BI145" s="787"/>
      <c r="BJ145" s="788"/>
      <c r="BK145" s="23"/>
    </row>
    <row r="146" spans="2:63" ht="12.75" customHeight="1" x14ac:dyDescent="0.3">
      <c r="C146" s="494"/>
      <c r="D146" s="495"/>
      <c r="E146" s="495"/>
      <c r="F146" s="495"/>
      <c r="G146" s="495"/>
      <c r="H146" s="495"/>
      <c r="I146" s="495"/>
      <c r="J146" s="495"/>
      <c r="K146" s="495"/>
      <c r="L146" s="495"/>
      <c r="M146" s="495"/>
      <c r="N146" s="495"/>
      <c r="O146" s="495"/>
      <c r="P146" s="496"/>
      <c r="Q146" s="280"/>
      <c r="R146" s="280"/>
      <c r="S146" s="280"/>
      <c r="T146" s="280"/>
      <c r="U146" s="280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280"/>
      <c r="AF146" s="280"/>
      <c r="AG146" s="280"/>
      <c r="AH146" s="280"/>
      <c r="AI146" s="280"/>
      <c r="AJ146" s="280"/>
      <c r="AK146" s="280"/>
      <c r="AL146" s="280"/>
      <c r="AM146" s="280"/>
      <c r="AN146" s="280"/>
      <c r="AO146" s="286"/>
      <c r="AP146" s="286"/>
      <c r="AQ146" s="287"/>
      <c r="AR146" s="280"/>
      <c r="AS146" s="280"/>
      <c r="AT146" s="280"/>
      <c r="AU146" s="280"/>
      <c r="AV146" s="280"/>
      <c r="AW146" s="286"/>
      <c r="AX146" s="140"/>
      <c r="AY146" s="789"/>
      <c r="AZ146" s="790"/>
      <c r="BA146" s="790"/>
      <c r="BB146" s="790"/>
      <c r="BC146" s="790"/>
      <c r="BD146" s="790"/>
      <c r="BE146" s="790"/>
      <c r="BF146" s="790"/>
      <c r="BG146" s="790"/>
      <c r="BH146" s="790"/>
      <c r="BI146" s="790"/>
      <c r="BJ146" s="791"/>
    </row>
    <row r="147" spans="2:63" ht="21.75" customHeight="1" x14ac:dyDescent="0.3">
      <c r="B147" s="1"/>
      <c r="C147" s="497"/>
      <c r="D147" s="498"/>
      <c r="E147" s="498"/>
      <c r="F147" s="498"/>
      <c r="G147" s="498"/>
      <c r="H147" s="498"/>
      <c r="I147" s="498"/>
      <c r="J147" s="498"/>
      <c r="K147" s="498"/>
      <c r="L147" s="498"/>
      <c r="M147" s="498"/>
      <c r="N147" s="498"/>
      <c r="O147" s="498"/>
      <c r="P147" s="499"/>
      <c r="Q147" s="138"/>
      <c r="R147" s="536" t="str">
        <f>IF(AND($AD$34="Conexão Nova",$AA$143="Azul"),"Demanda fora de ponta:*",
IF(AND(OR($AD$34="Aumento de Demanda",$AD$34="Redução de Demanda",$AD$34="Adequação de Subestação",$AD$34="Aderir a Tarifa Monômia",$AD$34="Religação de Subestação",$AD$34="Desconexão para encerramento contratual",$AD$34="Não haverá alteração"),$AA$143="Azul"),"Demanda fora de ponta atual:*",""))</f>
        <v/>
      </c>
      <c r="S147" s="536"/>
      <c r="T147" s="536"/>
      <c r="U147" s="536"/>
      <c r="V147" s="536"/>
      <c r="W147" s="536"/>
      <c r="X147" s="536"/>
      <c r="Y147" s="536"/>
      <c r="Z147" s="536"/>
      <c r="AA147" s="536"/>
      <c r="AB147" s="536"/>
      <c r="AC147" s="536"/>
      <c r="AD147" s="536"/>
      <c r="AE147" s="280"/>
      <c r="AF147" s="709"/>
      <c r="AG147" s="709"/>
      <c r="AH147" s="709"/>
      <c r="AI147" s="709"/>
      <c r="AJ147" s="280"/>
      <c r="AK147" s="798" t="str">
        <f>IF(AND(CALCULOS!D83=1,CALCULOS!D84=1),"",
IF(AND(CALCULOS!D83=0,CALCULOS!D84=1),"",
IF(AND(CALCULOS!D83=0,CALCULOS!D85=1),"",
IF(AND(CALCULOS!D83=1,CALCULOS!D85=1),"Fora ponta Futura:*",""))))</f>
        <v/>
      </c>
      <c r="AL147" s="798"/>
      <c r="AM147" s="798"/>
      <c r="AN147" s="798"/>
      <c r="AO147" s="798"/>
      <c r="AP147" s="798"/>
      <c r="AQ147" s="798"/>
      <c r="AR147" s="798"/>
      <c r="AS147" s="141"/>
      <c r="AT147" s="709"/>
      <c r="AU147" s="709"/>
      <c r="AV147" s="709"/>
      <c r="AW147" s="709"/>
      <c r="AX147" s="140"/>
      <c r="AY147" s="792"/>
      <c r="AZ147" s="793"/>
      <c r="BA147" s="793"/>
      <c r="BB147" s="793"/>
      <c r="BC147" s="793"/>
      <c r="BD147" s="793"/>
      <c r="BE147" s="793"/>
      <c r="BF147" s="793"/>
      <c r="BG147" s="793"/>
      <c r="BH147" s="793"/>
      <c r="BI147" s="793"/>
      <c r="BJ147" s="794"/>
      <c r="BK147" s="23"/>
    </row>
    <row r="148" spans="2:63" ht="4.5" customHeight="1" x14ac:dyDescent="0.3"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280"/>
      <c r="AF148" s="280"/>
      <c r="AG148" s="280"/>
      <c r="AH148" s="280"/>
      <c r="AI148" s="280"/>
      <c r="AJ148" s="280"/>
      <c r="AK148" s="280"/>
      <c r="AL148" s="280"/>
      <c r="AM148" s="280"/>
      <c r="AN148" s="280"/>
      <c r="AO148" s="286"/>
      <c r="AP148" s="286"/>
      <c r="AQ148" s="286"/>
      <c r="AR148" s="280"/>
      <c r="AS148" s="280"/>
      <c r="AT148" s="280"/>
      <c r="AU148" s="280"/>
      <c r="AV148" s="280"/>
      <c r="AW148" s="280"/>
      <c r="AX148" s="280"/>
      <c r="AY148" s="280"/>
      <c r="AZ148" s="280"/>
      <c r="BA148" s="280"/>
      <c r="BB148" s="280"/>
      <c r="BC148" s="280"/>
      <c r="BD148" s="280"/>
      <c r="BE148" s="280"/>
      <c r="BF148" s="280"/>
      <c r="BG148" s="280"/>
      <c r="BH148" s="280"/>
      <c r="BI148" s="280"/>
      <c r="BJ148" s="280"/>
    </row>
    <row r="149" spans="2:63" ht="15.6" x14ac:dyDescent="0.3">
      <c r="C149" s="487" t="s">
        <v>149</v>
      </c>
      <c r="D149" s="488"/>
      <c r="E149" s="488"/>
      <c r="F149" s="488"/>
      <c r="G149" s="488"/>
      <c r="H149" s="488"/>
      <c r="I149" s="488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88"/>
      <c r="V149" s="488"/>
      <c r="W149" s="488"/>
      <c r="X149" s="488"/>
      <c r="Y149" s="488"/>
      <c r="Z149" s="488"/>
      <c r="AA149" s="488"/>
      <c r="AB149" s="488"/>
      <c r="AC149" s="488"/>
      <c r="AD149" s="488"/>
      <c r="AE149" s="488"/>
      <c r="AF149" s="488"/>
      <c r="AG149" s="488"/>
      <c r="AH149" s="488"/>
      <c r="AI149" s="488"/>
      <c r="AJ149" s="488"/>
      <c r="AK149" s="488"/>
      <c r="AL149" s="488"/>
      <c r="AM149" s="488"/>
      <c r="AN149" s="488"/>
      <c r="AO149" s="488"/>
      <c r="AP149" s="488"/>
      <c r="AQ149" s="488"/>
      <c r="AR149" s="488"/>
      <c r="AS149" s="488"/>
      <c r="AT149" s="488"/>
      <c r="AU149" s="488"/>
      <c r="AV149" s="488"/>
      <c r="AW149" s="488"/>
      <c r="AX149" s="488"/>
      <c r="AY149" s="488"/>
      <c r="AZ149" s="488"/>
      <c r="BA149" s="488"/>
      <c r="BB149" s="488"/>
      <c r="BC149" s="488"/>
      <c r="BD149" s="488"/>
      <c r="BE149" s="488"/>
      <c r="BF149" s="488"/>
      <c r="BG149" s="488"/>
      <c r="BH149" s="488"/>
      <c r="BI149" s="488"/>
      <c r="BJ149" s="489"/>
    </row>
    <row r="150" spans="2:63" ht="15.6" x14ac:dyDescent="0.3">
      <c r="B150" s="1"/>
      <c r="C150" s="446" t="str" cm="1">
        <f t="array" ref="C150">_xlfn.IFS(AND($AD$34&lt;&gt;"Conexão Nova",$AR$143="Sim"),"Demanda contratada futura KW:**",AND($AD$34="Conexão Nova",$AR$143="Sim"),"Demanda contratada KW:*",TRUE,"Seção para pedidos com")</f>
        <v>Seção para pedidos com</v>
      </c>
      <c r="D150" s="446"/>
      <c r="E150" s="446"/>
      <c r="F150" s="446"/>
      <c r="G150" s="446"/>
      <c r="H150" s="446"/>
      <c r="I150" s="446"/>
      <c r="J150" s="446"/>
      <c r="K150" s="446"/>
      <c r="L150" s="446"/>
      <c r="M150" s="446"/>
      <c r="N150" s="446"/>
      <c r="O150" s="446"/>
      <c r="P150" s="446"/>
      <c r="Q150" s="457"/>
      <c r="R150" s="446" t="str">
        <f>IF(AND(AR143="Sim",AA143="Azul"),"Demanda ponta?:","")</f>
        <v/>
      </c>
      <c r="S150" s="446"/>
      <c r="T150" s="446"/>
      <c r="U150" s="446"/>
      <c r="V150" s="446"/>
      <c r="W150" s="446"/>
      <c r="X150" s="446"/>
      <c r="Y150" s="447"/>
      <c r="Z150" s="447"/>
      <c r="AA150" s="447"/>
      <c r="AB150" s="447"/>
      <c r="AC150" s="447"/>
      <c r="AD150" s="447"/>
      <c r="AE150" s="447"/>
      <c r="AF150" s="433" t="str">
        <f>IF(AND(AR143="Sim",AA143="Azul"),"Demanda fora de ponta?:","")</f>
        <v/>
      </c>
      <c r="AG150" s="434"/>
      <c r="AH150" s="434"/>
      <c r="AI150" s="434"/>
      <c r="AJ150" s="434"/>
      <c r="AK150" s="434"/>
      <c r="AL150" s="434"/>
      <c r="AM150" s="434"/>
      <c r="AN150" s="434"/>
      <c r="AO150" s="435"/>
      <c r="AP150" s="427"/>
      <c r="AQ150" s="428"/>
      <c r="AR150" s="428"/>
      <c r="AS150" s="428"/>
      <c r="AT150" s="428"/>
      <c r="AU150" s="428"/>
      <c r="AV150" s="429"/>
      <c r="AW150" s="444" t="str">
        <f>IF(AR143="Sim","Início de Uso:*","")</f>
        <v/>
      </c>
      <c r="AX150" s="444"/>
      <c r="AY150" s="444"/>
      <c r="AZ150" s="444"/>
      <c r="BA150" s="444"/>
      <c r="BB150" s="444"/>
      <c r="BC150" s="430"/>
      <c r="BD150" s="431"/>
      <c r="BE150" s="431"/>
      <c r="BF150" s="431"/>
      <c r="BG150" s="431"/>
      <c r="BH150" s="431"/>
      <c r="BI150" s="431"/>
      <c r="BJ150" s="432"/>
      <c r="BK150" s="23"/>
    </row>
    <row r="151" spans="2:63" ht="15.6" x14ac:dyDescent="0.3">
      <c r="B151" s="1"/>
      <c r="C151" s="446" t="str" cm="1">
        <f t="array" ref="C151">_xlfn.IFS(AND($AD$34&lt;&gt;"Conexão Nova",AR143="Sim"),"Demanda contratada futura KW:**",AND(AD34="Conexão Nova",AR143="Sim"),"Demanda contratada KW:*",TRUE,"demanda escalonada")</f>
        <v>demanda escalonada</v>
      </c>
      <c r="D151" s="446"/>
      <c r="E151" s="446"/>
      <c r="F151" s="446"/>
      <c r="G151" s="446"/>
      <c r="H151" s="446"/>
      <c r="I151" s="446"/>
      <c r="J151" s="446"/>
      <c r="K151" s="446"/>
      <c r="L151" s="446"/>
      <c r="M151" s="446"/>
      <c r="N151" s="446"/>
      <c r="O151" s="446"/>
      <c r="P151" s="446"/>
      <c r="Q151" s="457"/>
      <c r="R151" s="446" t="str">
        <f>IF(AND(AR143="Sim",AA143="Azul"),"Demanda ponta?:","")</f>
        <v/>
      </c>
      <c r="S151" s="446"/>
      <c r="T151" s="446"/>
      <c r="U151" s="446"/>
      <c r="V151" s="446"/>
      <c r="W151" s="446"/>
      <c r="X151" s="446"/>
      <c r="Y151" s="447"/>
      <c r="Z151" s="447"/>
      <c r="AA151" s="447"/>
      <c r="AB151" s="447"/>
      <c r="AC151" s="447"/>
      <c r="AD151" s="447"/>
      <c r="AE151" s="447"/>
      <c r="AF151" s="433" t="str">
        <f>IF(AND(AR143="Sim",AA143="Azul"),"Demanda fora de ponta?:","")</f>
        <v/>
      </c>
      <c r="AG151" s="434"/>
      <c r="AH151" s="434"/>
      <c r="AI151" s="434"/>
      <c r="AJ151" s="434"/>
      <c r="AK151" s="434"/>
      <c r="AL151" s="434"/>
      <c r="AM151" s="434"/>
      <c r="AN151" s="434"/>
      <c r="AO151" s="435"/>
      <c r="AP151" s="427"/>
      <c r="AQ151" s="428"/>
      <c r="AR151" s="428"/>
      <c r="AS151" s="428"/>
      <c r="AT151" s="428"/>
      <c r="AU151" s="428"/>
      <c r="AV151" s="429"/>
      <c r="AW151" s="444" t="str">
        <f>IF(AR143="Sim","Início de Uso:*","")</f>
        <v/>
      </c>
      <c r="AX151" s="444"/>
      <c r="AY151" s="444"/>
      <c r="AZ151" s="444"/>
      <c r="BA151" s="444"/>
      <c r="BB151" s="444"/>
      <c r="BC151" s="430"/>
      <c r="BD151" s="431"/>
      <c r="BE151" s="431"/>
      <c r="BF151" s="431"/>
      <c r="BG151" s="431"/>
      <c r="BH151" s="431"/>
      <c r="BI151" s="431"/>
      <c r="BJ151" s="432"/>
      <c r="BK151" s="23"/>
    </row>
    <row r="152" spans="2:63" ht="15.6" x14ac:dyDescent="0.3">
      <c r="B152" s="1"/>
      <c r="C152" s="446" t="str" cm="1">
        <f t="array" ref="C152">_xlfn.IFS(AND($AD$34&lt;&gt;"Conexão Nova",AR143="Sim"),"Demanda contratada futura KW:**",AND(AD34="Conexão Nova",AR143="Sim"),"Demanda contratada KW:*",TRUE,"")</f>
        <v/>
      </c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57"/>
      <c r="R152" s="446" t="str">
        <f>IF(AND(AR143="Sim",AA143="Azul"),"Demanda ponta?:","")</f>
        <v/>
      </c>
      <c r="S152" s="446"/>
      <c r="T152" s="446"/>
      <c r="U152" s="446"/>
      <c r="V152" s="446"/>
      <c r="W152" s="446"/>
      <c r="X152" s="446"/>
      <c r="Y152" s="447"/>
      <c r="Z152" s="447"/>
      <c r="AA152" s="447"/>
      <c r="AB152" s="447"/>
      <c r="AC152" s="447"/>
      <c r="AD152" s="447"/>
      <c r="AE152" s="447"/>
      <c r="AF152" s="433" t="str">
        <f>IF(AND(AR143="Sim",AA143="Azul"),"Demanda fora de ponta?:","")</f>
        <v/>
      </c>
      <c r="AG152" s="434"/>
      <c r="AH152" s="434"/>
      <c r="AI152" s="434"/>
      <c r="AJ152" s="434"/>
      <c r="AK152" s="434"/>
      <c r="AL152" s="434"/>
      <c r="AM152" s="434"/>
      <c r="AN152" s="434"/>
      <c r="AO152" s="435"/>
      <c r="AP152" s="427"/>
      <c r="AQ152" s="428"/>
      <c r="AR152" s="428"/>
      <c r="AS152" s="428"/>
      <c r="AT152" s="428"/>
      <c r="AU152" s="428"/>
      <c r="AV152" s="429"/>
      <c r="AW152" s="444" t="str">
        <f>IF(AR143="Sim","Início de Uso:*","")</f>
        <v/>
      </c>
      <c r="AX152" s="444"/>
      <c r="AY152" s="444"/>
      <c r="AZ152" s="444"/>
      <c r="BA152" s="444"/>
      <c r="BB152" s="444"/>
      <c r="BC152" s="430"/>
      <c r="BD152" s="431"/>
      <c r="BE152" s="431"/>
      <c r="BF152" s="431"/>
      <c r="BG152" s="431"/>
      <c r="BH152" s="431"/>
      <c r="BI152" s="431"/>
      <c r="BJ152" s="432"/>
      <c r="BK152" s="23"/>
    </row>
    <row r="153" spans="2:63" ht="16.5" customHeight="1" x14ac:dyDescent="0.3">
      <c r="B153" s="1"/>
      <c r="C153" s="446" t="str" cm="1">
        <f t="array" ref="C153">_xlfn.IFS(AND($AD$34&lt;&gt;"Conexão Nova",AR143="Sim"),"Demanda contratada futura KW:**",AND(AD34="Conexão Nova",AR143="Sim"),"Demanda contratada KW:*",TRUE,"")</f>
        <v/>
      </c>
      <c r="D153" s="446"/>
      <c r="E153" s="446"/>
      <c r="F153" s="446"/>
      <c r="G153" s="446"/>
      <c r="H153" s="446"/>
      <c r="I153" s="446"/>
      <c r="J153" s="446"/>
      <c r="K153" s="446"/>
      <c r="L153" s="446"/>
      <c r="M153" s="446"/>
      <c r="N153" s="446"/>
      <c r="O153" s="446"/>
      <c r="P153" s="446"/>
      <c r="Q153" s="457"/>
      <c r="R153" s="446" t="str">
        <f>IF(AND(AR143="Sim",AA143="Azul"),"Demanda ponta?:","")</f>
        <v/>
      </c>
      <c r="S153" s="446"/>
      <c r="T153" s="446"/>
      <c r="U153" s="446"/>
      <c r="V153" s="446"/>
      <c r="W153" s="446"/>
      <c r="X153" s="446"/>
      <c r="Y153" s="447"/>
      <c r="Z153" s="447"/>
      <c r="AA153" s="447"/>
      <c r="AB153" s="447"/>
      <c r="AC153" s="447"/>
      <c r="AD153" s="447"/>
      <c r="AE153" s="447"/>
      <c r="AF153" s="445" t="str">
        <f>IF(AND(AR143="Sim",AA143="Azul"),"Demanda fora de ponta?:","")</f>
        <v/>
      </c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27"/>
      <c r="AQ153" s="428"/>
      <c r="AR153" s="428"/>
      <c r="AS153" s="428"/>
      <c r="AT153" s="428"/>
      <c r="AU153" s="428"/>
      <c r="AV153" s="429"/>
      <c r="AW153" s="444" t="str">
        <f>IF(AR143="Sim","Início de Uso:*","")</f>
        <v/>
      </c>
      <c r="AX153" s="444"/>
      <c r="AY153" s="444"/>
      <c r="AZ153" s="444"/>
      <c r="BA153" s="444"/>
      <c r="BB153" s="444"/>
      <c r="BC153" s="430"/>
      <c r="BD153" s="431"/>
      <c r="BE153" s="431"/>
      <c r="BF153" s="431"/>
      <c r="BG153" s="431"/>
      <c r="BH153" s="431"/>
      <c r="BI153" s="431"/>
      <c r="BJ153" s="432"/>
      <c r="BK153" s="23"/>
    </row>
    <row r="154" spans="2:63" ht="2.1" customHeight="1" x14ac:dyDescent="0.3">
      <c r="C154" s="283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G154" s="283"/>
      <c r="AH154" s="283"/>
      <c r="AI154" s="283"/>
      <c r="AJ154" s="283"/>
      <c r="AK154" s="283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</row>
    <row r="155" spans="2:63" ht="2.1" customHeight="1" x14ac:dyDescent="0.3">
      <c r="C155" s="461" t="s">
        <v>150</v>
      </c>
      <c r="D155" s="461"/>
      <c r="E155" s="461"/>
      <c r="F155" s="461"/>
      <c r="G155" s="461"/>
      <c r="H155" s="461"/>
      <c r="I155" s="461"/>
      <c r="J155" s="461"/>
      <c r="K155" s="461"/>
      <c r="L155" s="461"/>
      <c r="M155" s="461"/>
      <c r="N155" s="461"/>
      <c r="O155" s="461"/>
      <c r="P155" s="461"/>
      <c r="Q155" s="461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  <c r="AT155" s="461"/>
      <c r="AU155" s="461"/>
      <c r="AV155" s="461"/>
      <c r="AW155" s="461"/>
      <c r="AX155" s="461"/>
      <c r="AY155" s="461"/>
      <c r="AZ155" s="461"/>
      <c r="BA155" s="461"/>
      <c r="BB155" s="461"/>
      <c r="BC155" s="461"/>
      <c r="BD155" s="461"/>
      <c r="BE155" s="461"/>
      <c r="BF155" s="461"/>
      <c r="BG155" s="461"/>
      <c r="BH155" s="785" t="str">
        <f>IFERROR(CALCULOS!I57,"")</f>
        <v/>
      </c>
      <c r="BI155" s="785"/>
      <c r="BJ155" s="785"/>
    </row>
    <row r="156" spans="2:63" ht="2.1" customHeight="1" x14ac:dyDescent="0.3">
      <c r="B156" s="1"/>
      <c r="C156" s="461" t="s">
        <v>151</v>
      </c>
      <c r="D156" s="461"/>
      <c r="E156" s="461"/>
      <c r="F156" s="461"/>
      <c r="G156" s="461"/>
      <c r="H156" s="461"/>
      <c r="I156" s="461"/>
      <c r="J156" s="461"/>
      <c r="K156" s="461"/>
      <c r="L156" s="461"/>
      <c r="M156" s="461"/>
      <c r="N156" s="461"/>
      <c r="O156" s="461"/>
      <c r="P156" s="461"/>
      <c r="Q156" s="461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  <c r="AT156" s="461"/>
      <c r="AU156" s="461"/>
      <c r="AV156" s="461"/>
      <c r="AW156" s="461"/>
      <c r="AX156" s="461"/>
      <c r="AY156" s="461"/>
      <c r="AZ156" s="461"/>
      <c r="BA156" s="461"/>
      <c r="BB156" s="461"/>
      <c r="BC156" s="461"/>
      <c r="BD156" s="461"/>
      <c r="BE156" s="461"/>
      <c r="BF156" s="461"/>
      <c r="BG156" s="461"/>
      <c r="BH156" s="490"/>
      <c r="BI156" s="490"/>
      <c r="BJ156" s="490"/>
      <c r="BK156" s="23"/>
    </row>
    <row r="157" spans="2:63" ht="2.1" customHeight="1" x14ac:dyDescent="0.3"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</row>
    <row r="158" spans="2:63" ht="15.75" customHeight="1" x14ac:dyDescent="0.3">
      <c r="B158" s="1"/>
      <c r="C158" s="484" t="s">
        <v>152</v>
      </c>
      <c r="D158" s="485"/>
      <c r="E158" s="485"/>
      <c r="F158" s="485"/>
      <c r="G158" s="485"/>
      <c r="H158" s="485"/>
      <c r="I158" s="485"/>
      <c r="J158" s="485"/>
      <c r="K158" s="485"/>
      <c r="L158" s="485"/>
      <c r="M158" s="485"/>
      <c r="N158" s="485"/>
      <c r="O158" s="485"/>
      <c r="P158" s="485"/>
      <c r="Q158" s="485"/>
      <c r="R158" s="485"/>
      <c r="S158" s="485"/>
      <c r="T158" s="485"/>
      <c r="U158" s="485"/>
      <c r="V158" s="485"/>
      <c r="W158" s="485"/>
      <c r="X158" s="485"/>
      <c r="Y158" s="485"/>
      <c r="Z158" s="485"/>
      <c r="AA158" s="485"/>
      <c r="AB158" s="485"/>
      <c r="AC158" s="485"/>
      <c r="AD158" s="485"/>
      <c r="AE158" s="485"/>
      <c r="AF158" s="485"/>
      <c r="AG158" s="485"/>
      <c r="AH158" s="485"/>
      <c r="AI158" s="485"/>
      <c r="AJ158" s="485"/>
      <c r="AK158" s="486"/>
      <c r="AL158" s="370"/>
      <c r="AM158" s="371"/>
      <c r="AN158" s="372"/>
      <c r="AO158" s="373" t="str">
        <f>IF(AL158="Sim","Informar potência da geração:","")</f>
        <v/>
      </c>
      <c r="AP158" s="374"/>
      <c r="AQ158" s="374"/>
      <c r="AR158" s="374"/>
      <c r="AS158" s="374"/>
      <c r="AT158" s="374"/>
      <c r="AU158" s="374"/>
      <c r="AV158" s="374"/>
      <c r="AW158" s="374"/>
      <c r="AX158" s="374"/>
      <c r="AY158" s="374"/>
      <c r="AZ158" s="374"/>
      <c r="BA158" s="374"/>
      <c r="BB158" s="374"/>
      <c r="BC158" s="374"/>
      <c r="BD158" s="374"/>
      <c r="BE158" s="374"/>
      <c r="BF158" s="454"/>
      <c r="BG158" s="455"/>
      <c r="BH158" s="455"/>
      <c r="BI158" s="455"/>
      <c r="BJ158" s="456"/>
      <c r="BK158" s="23"/>
    </row>
    <row r="159" spans="2:63" ht="2.1" customHeight="1" x14ac:dyDescent="0.3"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280"/>
      <c r="AF159" s="280"/>
      <c r="AG159" s="280"/>
      <c r="AH159" s="280"/>
      <c r="AI159" s="280"/>
      <c r="AJ159" s="280"/>
      <c r="AK159" s="280"/>
      <c r="AL159" s="280"/>
      <c r="AM159" s="280"/>
      <c r="AN159" s="280"/>
      <c r="AO159" s="280"/>
      <c r="AP159" s="288"/>
      <c r="AQ159" s="280"/>
      <c r="AR159" s="280"/>
      <c r="AS159" s="280"/>
      <c r="AT159" s="280"/>
      <c r="AU159" s="280"/>
      <c r="AV159" s="280"/>
      <c r="AW159" s="280"/>
      <c r="AX159" s="280"/>
      <c r="AY159" s="280"/>
      <c r="AZ159" s="280"/>
      <c r="BA159" s="280"/>
      <c r="BB159" s="280"/>
      <c r="BC159" s="280"/>
      <c r="BD159" s="280"/>
      <c r="BE159" s="280"/>
      <c r="BF159" s="280"/>
      <c r="BG159" s="280"/>
      <c r="BH159" s="280"/>
      <c r="BI159" s="280"/>
      <c r="BJ159" s="280"/>
    </row>
    <row r="160" spans="2:63" ht="19.5" customHeight="1" x14ac:dyDescent="0.3">
      <c r="B160" s="1"/>
      <c r="C160" s="373" t="s">
        <v>153</v>
      </c>
      <c r="D160" s="374"/>
      <c r="E160" s="374"/>
      <c r="F160" s="374"/>
      <c r="G160" s="374"/>
      <c r="H160" s="374"/>
      <c r="I160" s="374"/>
      <c r="J160" s="374"/>
      <c r="K160" s="374"/>
      <c r="L160" s="374"/>
      <c r="M160" s="374"/>
      <c r="N160" s="374"/>
      <c r="O160" s="374"/>
      <c r="P160" s="374"/>
      <c r="Q160" s="374"/>
      <c r="R160" s="374"/>
      <c r="S160" s="374"/>
      <c r="T160" s="374"/>
      <c r="U160" s="374"/>
      <c r="V160" s="374"/>
      <c r="W160" s="374"/>
      <c r="X160" s="374"/>
      <c r="Y160" s="374"/>
      <c r="Z160" s="374"/>
      <c r="AA160" s="374"/>
      <c r="AB160" s="374"/>
      <c r="AC160" s="374"/>
      <c r="AD160" s="374"/>
      <c r="AE160" s="374"/>
      <c r="AF160" s="374"/>
      <c r="AG160" s="374"/>
      <c r="AH160" s="374"/>
      <c r="AI160" s="374"/>
      <c r="AJ160" s="374"/>
      <c r="AK160" s="483"/>
      <c r="AL160" s="370"/>
      <c r="AM160" s="371"/>
      <c r="AN160" s="372"/>
      <c r="AO160" s="373" t="str">
        <f>IF(AL160="Sim","Informar potência da geração:","")</f>
        <v/>
      </c>
      <c r="AP160" s="374"/>
      <c r="AQ160" s="374"/>
      <c r="AR160" s="374"/>
      <c r="AS160" s="374"/>
      <c r="AT160" s="374"/>
      <c r="AU160" s="374"/>
      <c r="AV160" s="374"/>
      <c r="AW160" s="374"/>
      <c r="AX160" s="374"/>
      <c r="AY160" s="374"/>
      <c r="AZ160" s="374"/>
      <c r="BA160" s="374"/>
      <c r="BB160" s="374"/>
      <c r="BC160" s="374"/>
      <c r="BD160" s="374"/>
      <c r="BE160" s="374"/>
      <c r="BF160" s="375"/>
      <c r="BG160" s="376"/>
      <c r="BH160" s="376"/>
      <c r="BI160" s="376"/>
      <c r="BJ160" s="377"/>
      <c r="BK160" s="23"/>
    </row>
    <row r="161" spans="2:64" ht="2.1" customHeight="1" x14ac:dyDescent="0.3"/>
    <row r="162" spans="2:64" ht="17.25" hidden="1" customHeight="1" x14ac:dyDescent="0.3">
      <c r="C162" s="367" t="s">
        <v>154</v>
      </c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9"/>
      <c r="AL162" s="370" t="s">
        <v>155</v>
      </c>
      <c r="AM162" s="371"/>
      <c r="AN162" s="372"/>
      <c r="AO162" s="373" t="str">
        <f>IF(AL162="Sim","Informar potência da geração:","")</f>
        <v/>
      </c>
      <c r="AP162" s="374"/>
      <c r="AQ162" s="374"/>
      <c r="AR162" s="374"/>
      <c r="AS162" s="374"/>
      <c r="AT162" s="374"/>
      <c r="AU162" s="374"/>
      <c r="AV162" s="374"/>
      <c r="AW162" s="374"/>
      <c r="AX162" s="374"/>
      <c r="AY162" s="374"/>
      <c r="AZ162" s="374"/>
      <c r="BA162" s="374"/>
      <c r="BB162" s="374"/>
      <c r="BC162" s="374"/>
      <c r="BD162" s="374"/>
      <c r="BE162" s="374"/>
      <c r="BF162" s="375"/>
      <c r="BG162" s="376"/>
      <c r="BH162" s="376"/>
      <c r="BI162" s="376"/>
      <c r="BJ162" s="377"/>
    </row>
    <row r="163" spans="2:64" ht="2.1" customHeight="1" x14ac:dyDescent="0.3"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80"/>
      <c r="AI163" s="280"/>
      <c r="AJ163" s="280"/>
      <c r="AK163" s="280"/>
      <c r="AL163" s="280"/>
      <c r="AM163" s="280"/>
      <c r="AN163" s="280"/>
      <c r="AO163" s="280"/>
      <c r="AP163" s="288"/>
      <c r="AQ163" s="280"/>
      <c r="AR163" s="280"/>
      <c r="AS163" s="280"/>
      <c r="AT163" s="280"/>
      <c r="AU163" s="280"/>
      <c r="AV163" s="280"/>
      <c r="AW163" s="280"/>
      <c r="AX163" s="280"/>
      <c r="AY163" s="280"/>
      <c r="AZ163" s="280"/>
      <c r="BA163" s="280"/>
      <c r="BB163" s="280"/>
      <c r="BC163" s="280"/>
      <c r="BD163" s="280"/>
      <c r="BE163" s="280"/>
      <c r="BF163" s="280"/>
      <c r="BG163" s="280"/>
      <c r="BH163" s="280"/>
      <c r="BI163" s="280"/>
      <c r="BJ163" s="280"/>
    </row>
    <row r="164" spans="2:64" ht="21" customHeight="1" x14ac:dyDescent="0.3">
      <c r="C164" s="458" t="s">
        <v>156</v>
      </c>
      <c r="D164" s="459"/>
      <c r="E164" s="459"/>
      <c r="F164" s="459"/>
      <c r="G164" s="459"/>
      <c r="H164" s="459"/>
      <c r="I164" s="459"/>
      <c r="J164" s="459"/>
      <c r="K164" s="459"/>
      <c r="L164" s="459"/>
      <c r="M164" s="459"/>
      <c r="N164" s="459"/>
      <c r="O164" s="459"/>
      <c r="P164" s="459"/>
      <c r="Q164" s="459"/>
      <c r="R164" s="459"/>
      <c r="S164" s="459"/>
      <c r="T164" s="459"/>
      <c r="U164" s="459"/>
      <c r="V164" s="459"/>
      <c r="W164" s="459"/>
      <c r="X164" s="459"/>
      <c r="Y164" s="459"/>
      <c r="Z164" s="459"/>
      <c r="AA164" s="459"/>
      <c r="AB164" s="459"/>
      <c r="AC164" s="459"/>
      <c r="AD164" s="459"/>
      <c r="AE164" s="459"/>
      <c r="AF164" s="459"/>
      <c r="AG164" s="459"/>
      <c r="AH164" s="459"/>
      <c r="AI164" s="459"/>
      <c r="AJ164" s="459"/>
      <c r="AK164" s="459"/>
      <c r="AL164" s="459"/>
      <c r="AM164" s="459"/>
      <c r="AN164" s="459"/>
      <c r="AO164" s="459"/>
      <c r="AP164" s="459"/>
      <c r="AQ164" s="459"/>
      <c r="AR164" s="459"/>
      <c r="AS164" s="459"/>
      <c r="AT164" s="459"/>
      <c r="AU164" s="459"/>
      <c r="AV164" s="459"/>
      <c r="AW164" s="459"/>
      <c r="AX164" s="459"/>
      <c r="AY164" s="459"/>
      <c r="AZ164" s="459"/>
      <c r="BA164" s="459"/>
      <c r="BB164" s="459"/>
      <c r="BC164" s="459"/>
      <c r="BD164" s="459"/>
      <c r="BE164" s="459"/>
      <c r="BF164" s="459"/>
      <c r="BG164" s="459"/>
      <c r="BH164" s="459"/>
      <c r="BI164" s="459"/>
      <c r="BJ164" s="460"/>
    </row>
    <row r="165" spans="2:64" ht="2.1" customHeight="1" x14ac:dyDescent="0.3"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80"/>
      <c r="AE165" s="280"/>
      <c r="AF165" s="280"/>
      <c r="AG165" s="280"/>
      <c r="AH165" s="280"/>
      <c r="AI165" s="280"/>
      <c r="AJ165" s="280"/>
      <c r="AK165" s="280"/>
      <c r="AL165" s="280"/>
      <c r="AM165" s="280"/>
      <c r="AN165" s="280"/>
      <c r="AO165" s="280"/>
      <c r="AP165" s="280"/>
      <c r="AQ165" s="280"/>
      <c r="AR165" s="280"/>
      <c r="AS165" s="280"/>
      <c r="AT165" s="280"/>
      <c r="AU165" s="280"/>
      <c r="AV165" s="280"/>
      <c r="AW165" s="280"/>
      <c r="AX165" s="280"/>
      <c r="AY165" s="280"/>
      <c r="AZ165" s="280"/>
      <c r="BA165" s="280"/>
      <c r="BB165" s="280"/>
      <c r="BC165" s="280"/>
      <c r="BD165" s="280"/>
      <c r="BE165" s="280"/>
      <c r="BF165" s="280"/>
      <c r="BG165" s="280"/>
      <c r="BH165" s="280"/>
      <c r="BI165" s="280"/>
      <c r="BJ165" s="280"/>
    </row>
    <row r="166" spans="2:64" ht="2.1" customHeight="1" x14ac:dyDescent="0.3"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80"/>
      <c r="AI166" s="280"/>
      <c r="AJ166" s="280"/>
      <c r="AK166" s="280"/>
      <c r="AL166" s="280"/>
      <c r="AM166" s="280"/>
      <c r="AN166" s="280"/>
      <c r="AO166" s="280"/>
      <c r="AP166" s="280"/>
      <c r="AQ166" s="280"/>
      <c r="AR166" s="280"/>
      <c r="AS166" s="280"/>
      <c r="AT166" s="280"/>
      <c r="AU166" s="280"/>
      <c r="AV166" s="280"/>
      <c r="AW166" s="280"/>
      <c r="AX166" s="280"/>
      <c r="AY166" s="280"/>
      <c r="AZ166" s="280"/>
      <c r="BA166" s="280"/>
      <c r="BB166" s="280"/>
      <c r="BC166" s="280"/>
      <c r="BD166" s="280"/>
      <c r="BE166" s="280"/>
      <c r="BF166" s="280"/>
      <c r="BG166" s="280"/>
      <c r="BH166" s="280"/>
      <c r="BI166" s="280"/>
      <c r="BJ166" s="280"/>
    </row>
    <row r="167" spans="2:64" s="36" customFormat="1" ht="31.5" customHeight="1" x14ac:dyDescent="0.3">
      <c r="B167" s="21"/>
      <c r="C167" s="838" t="s">
        <v>157</v>
      </c>
      <c r="D167" s="839"/>
      <c r="E167" s="839"/>
      <c r="F167" s="839"/>
      <c r="G167" s="839"/>
      <c r="H167" s="839"/>
      <c r="I167" s="839"/>
      <c r="J167" s="839"/>
      <c r="K167" s="839"/>
      <c r="L167" s="839"/>
      <c r="M167" s="839"/>
      <c r="N167" s="839"/>
      <c r="O167" s="839"/>
      <c r="P167" s="839"/>
      <c r="Q167" s="839"/>
      <c r="R167" s="839"/>
      <c r="S167" s="839"/>
      <c r="T167" s="839"/>
      <c r="U167" s="839"/>
      <c r="V167" s="839"/>
      <c r="W167" s="839"/>
      <c r="X167" s="839"/>
      <c r="Y167" s="839"/>
      <c r="Z167" s="839"/>
      <c r="AA167" s="839"/>
      <c r="AB167" s="839"/>
      <c r="AC167" s="839"/>
      <c r="AD167" s="839"/>
      <c r="AE167" s="839"/>
      <c r="AF167" s="839"/>
      <c r="AG167" s="839"/>
      <c r="AH167" s="839"/>
      <c r="AI167" s="839"/>
      <c r="AJ167" s="839"/>
      <c r="AK167" s="839"/>
      <c r="AL167" s="839"/>
      <c r="AM167" s="839"/>
      <c r="AN167" s="839"/>
      <c r="AO167" s="839"/>
      <c r="AP167" s="839"/>
      <c r="AQ167" s="839"/>
      <c r="AR167" s="839"/>
      <c r="AS167" s="839"/>
      <c r="AT167" s="839"/>
      <c r="AU167" s="839"/>
      <c r="AV167" s="839"/>
      <c r="AW167" s="839"/>
      <c r="AX167" s="840"/>
      <c r="AY167" s="841" t="s">
        <v>158</v>
      </c>
      <c r="AZ167" s="841"/>
      <c r="BA167" s="841"/>
      <c r="BB167" s="841"/>
      <c r="BC167" s="842"/>
      <c r="BD167" s="842"/>
      <c r="BE167" s="842"/>
      <c r="BF167" s="350"/>
      <c r="BG167" s="350"/>
      <c r="BH167" s="350"/>
      <c r="BI167" s="350"/>
      <c r="BJ167" s="351"/>
      <c r="BK167" s="21"/>
      <c r="BL167" s="21"/>
    </row>
    <row r="168" spans="2:64" ht="2.1" customHeight="1" x14ac:dyDescent="0.3"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1"/>
      <c r="P168" s="321"/>
      <c r="Q168" s="321"/>
      <c r="R168" s="321"/>
      <c r="S168" s="321"/>
      <c r="T168" s="321"/>
      <c r="U168" s="321"/>
      <c r="V168" s="321"/>
      <c r="W168" s="321"/>
      <c r="X168" s="321"/>
      <c r="Y168" s="321"/>
      <c r="Z168" s="321"/>
      <c r="AA168" s="321"/>
      <c r="AB168" s="321"/>
      <c r="AC168" s="321"/>
      <c r="AD168" s="321"/>
      <c r="AE168" s="321"/>
      <c r="AF168" s="321"/>
      <c r="AG168" s="321"/>
      <c r="AH168" s="321"/>
      <c r="AI168" s="321"/>
      <c r="AJ168" s="321"/>
      <c r="AK168" s="321"/>
      <c r="AL168" s="321"/>
      <c r="AM168" s="321"/>
      <c r="AN168" s="321"/>
      <c r="AO168" s="321"/>
      <c r="AP168" s="321"/>
      <c r="AQ168" s="321"/>
      <c r="AR168" s="321"/>
      <c r="AS168" s="321"/>
      <c r="AT168" s="321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21"/>
      <c r="BE168" s="321"/>
      <c r="BF168" s="321"/>
      <c r="BG168" s="321"/>
      <c r="BH168" s="321"/>
      <c r="BI168" s="321"/>
      <c r="BJ168" s="321"/>
    </row>
    <row r="169" spans="2:64" s="36" customFormat="1" ht="2.1" customHeight="1" x14ac:dyDescent="0.3">
      <c r="B169" s="21"/>
      <c r="C169" s="837" t="s">
        <v>157</v>
      </c>
      <c r="D169" s="837"/>
      <c r="E169" s="837"/>
      <c r="F169" s="837"/>
      <c r="G169" s="837"/>
      <c r="H169" s="837"/>
      <c r="I169" s="837"/>
      <c r="J169" s="837"/>
      <c r="K169" s="837"/>
      <c r="L169" s="837"/>
      <c r="M169" s="837"/>
      <c r="N169" s="837"/>
      <c r="O169" s="837"/>
      <c r="P169" s="837"/>
      <c r="Q169" s="837"/>
      <c r="R169" s="837"/>
      <c r="S169" s="837"/>
      <c r="T169" s="837"/>
      <c r="U169" s="837"/>
      <c r="V169" s="837"/>
      <c r="W169" s="837"/>
      <c r="X169" s="837"/>
      <c r="Y169" s="837"/>
      <c r="Z169" s="837"/>
      <c r="AA169" s="837"/>
      <c r="AB169" s="837"/>
      <c r="AC169" s="837"/>
      <c r="AD169" s="837"/>
      <c r="AE169" s="837"/>
      <c r="AF169" s="837"/>
      <c r="AG169" s="837"/>
      <c r="AH169" s="837"/>
      <c r="AI169" s="837"/>
      <c r="AJ169" s="837"/>
      <c r="AK169" s="837"/>
      <c r="AL169" s="837"/>
      <c r="AM169" s="837"/>
      <c r="AN169" s="837"/>
      <c r="AO169" s="837"/>
      <c r="AP169" s="837"/>
      <c r="AQ169" s="837"/>
      <c r="AR169" s="837"/>
      <c r="AS169" s="837"/>
      <c r="AT169" s="837"/>
      <c r="AU169" s="837"/>
      <c r="AV169" s="837"/>
      <c r="AW169" s="837"/>
      <c r="AX169" s="837"/>
      <c r="AY169" s="836" t="s">
        <v>158</v>
      </c>
      <c r="AZ169" s="836"/>
      <c r="BA169" s="836"/>
      <c r="BB169" s="836"/>
      <c r="BC169" s="500">
        <f>IF(ISBLANK(BC167),2,BC167)</f>
        <v>2</v>
      </c>
      <c r="BD169" s="500"/>
      <c r="BE169" s="500"/>
      <c r="BF169" s="322"/>
      <c r="BG169" s="322"/>
      <c r="BH169" s="322"/>
      <c r="BI169" s="322"/>
      <c r="BJ169" s="322"/>
      <c r="BK169" s="21"/>
      <c r="BL169" s="21"/>
    </row>
    <row r="170" spans="2:64" s="36" customFormat="1" ht="2.1" customHeight="1" thickBot="1" x14ac:dyDescent="0.35">
      <c r="B170" s="21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9"/>
      <c r="AO170" s="289"/>
      <c r="AP170" s="289"/>
      <c r="AQ170" s="286"/>
      <c r="AR170" s="286"/>
      <c r="AS170" s="286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</row>
    <row r="171" spans="2:64" s="36" customFormat="1" ht="53.25" customHeight="1" x14ac:dyDescent="0.3">
      <c r="B171" s="21"/>
      <c r="C171" s="799" t="str">
        <f>IFERROR(VLOOKUP($BC$169,Listas!$AQ$3:$AR$14,2,0),"")</f>
        <v>Área de atendimento: Urbano
Atendimento à subestação: N°02, N°04, Nº05 ou N°08
Localização da Subestação: Localizada do mesmo lado da rede de distribuição
Tipo de ramal de conexão: Aéreo
Tipo de ramal de entrada: Subterrâneo</v>
      </c>
      <c r="D171" s="800"/>
      <c r="E171" s="800"/>
      <c r="F171" s="800"/>
      <c r="G171" s="800"/>
      <c r="H171" s="800"/>
      <c r="I171" s="800"/>
      <c r="J171" s="800"/>
      <c r="K171" s="800"/>
      <c r="L171" s="800"/>
      <c r="M171" s="800"/>
      <c r="N171" s="800"/>
      <c r="O171" s="800"/>
      <c r="P171" s="800"/>
      <c r="Q171" s="800"/>
      <c r="R171" s="800"/>
      <c r="S171" s="800"/>
      <c r="T171" s="800"/>
      <c r="U171" s="800"/>
      <c r="V171" s="800"/>
      <c r="W171" s="800"/>
      <c r="X171" s="800"/>
      <c r="Y171" s="800"/>
      <c r="Z171" s="800"/>
      <c r="AA171" s="800"/>
      <c r="AB171" s="800"/>
      <c r="AC171" s="800"/>
      <c r="AD171" s="800"/>
      <c r="AE171" s="800"/>
      <c r="AF171" s="800"/>
      <c r="AG171" s="800"/>
      <c r="AH171" s="800"/>
      <c r="AI171" s="800"/>
      <c r="AJ171" s="800"/>
      <c r="AK171" s="800"/>
      <c r="AL171" s="800"/>
      <c r="AM171" s="800"/>
      <c r="AN171" s="800"/>
      <c r="AO171" s="800"/>
      <c r="AP171" s="800"/>
      <c r="AQ171" s="800"/>
      <c r="AR171" s="800"/>
      <c r="AS171" s="800"/>
      <c r="AT171" s="800"/>
      <c r="AU171" s="800"/>
      <c r="AV171" s="800"/>
      <c r="AW171" s="800"/>
      <c r="AX171" s="800"/>
      <c r="AY171" s="800"/>
      <c r="AZ171" s="800"/>
      <c r="BA171" s="800"/>
      <c r="BB171" s="800"/>
      <c r="BC171" s="800"/>
      <c r="BD171" s="800"/>
      <c r="BE171" s="800"/>
      <c r="BF171" s="800"/>
      <c r="BG171" s="800"/>
      <c r="BH171" s="800"/>
      <c r="BI171" s="800"/>
      <c r="BJ171" s="801"/>
      <c r="BK171" s="21"/>
      <c r="BL171" s="21"/>
    </row>
    <row r="172" spans="2:64" s="36" customFormat="1" ht="7.5" customHeight="1" x14ac:dyDescent="0.3">
      <c r="B172" s="21"/>
      <c r="C172" s="802"/>
      <c r="D172" s="803"/>
      <c r="E172" s="803"/>
      <c r="F172" s="803"/>
      <c r="G172" s="803"/>
      <c r="H172" s="803"/>
      <c r="I172" s="803"/>
      <c r="J172" s="803"/>
      <c r="K172" s="803"/>
      <c r="L172" s="803"/>
      <c r="M172" s="803"/>
      <c r="N172" s="803"/>
      <c r="O172" s="803"/>
      <c r="P172" s="803"/>
      <c r="Q172" s="803"/>
      <c r="R172" s="803"/>
      <c r="S172" s="803"/>
      <c r="T172" s="803"/>
      <c r="U172" s="803"/>
      <c r="V172" s="803"/>
      <c r="W172" s="803"/>
      <c r="X172" s="803"/>
      <c r="Y172" s="803"/>
      <c r="Z172" s="803"/>
      <c r="AA172" s="803"/>
      <c r="AB172" s="803"/>
      <c r="AC172" s="803"/>
      <c r="AD172" s="803"/>
      <c r="AE172" s="803"/>
      <c r="AF172" s="803"/>
      <c r="AG172" s="803"/>
      <c r="AH172" s="803"/>
      <c r="AI172" s="803"/>
      <c r="AJ172" s="803"/>
      <c r="AK172" s="803"/>
      <c r="AL172" s="803"/>
      <c r="AM172" s="803"/>
      <c r="AN172" s="803"/>
      <c r="AO172" s="803"/>
      <c r="AP172" s="803"/>
      <c r="AQ172" s="803"/>
      <c r="AR172" s="803"/>
      <c r="AS172" s="803"/>
      <c r="AT172" s="803"/>
      <c r="AU172" s="803"/>
      <c r="AV172" s="803"/>
      <c r="AW172" s="803"/>
      <c r="AX172" s="803"/>
      <c r="AY172" s="803"/>
      <c r="AZ172" s="803"/>
      <c r="BA172" s="803"/>
      <c r="BB172" s="803"/>
      <c r="BC172" s="803"/>
      <c r="BD172" s="803"/>
      <c r="BE172" s="803"/>
      <c r="BF172" s="803"/>
      <c r="BG172" s="803"/>
      <c r="BH172" s="803"/>
      <c r="BI172" s="803"/>
      <c r="BJ172" s="804"/>
      <c r="BK172" s="21"/>
      <c r="BL172" s="21"/>
    </row>
    <row r="173" spans="2:64" s="36" customFormat="1" ht="14.25" customHeight="1" x14ac:dyDescent="0.3">
      <c r="B173" s="21"/>
      <c r="C173" s="802"/>
      <c r="D173" s="803"/>
      <c r="E173" s="803"/>
      <c r="F173" s="803"/>
      <c r="G173" s="803"/>
      <c r="H173" s="803"/>
      <c r="I173" s="803"/>
      <c r="J173" s="803"/>
      <c r="K173" s="803"/>
      <c r="L173" s="803"/>
      <c r="M173" s="803"/>
      <c r="N173" s="803"/>
      <c r="O173" s="803"/>
      <c r="P173" s="803"/>
      <c r="Q173" s="803"/>
      <c r="R173" s="803"/>
      <c r="S173" s="803"/>
      <c r="T173" s="803"/>
      <c r="U173" s="803"/>
      <c r="V173" s="803"/>
      <c r="W173" s="803"/>
      <c r="X173" s="803"/>
      <c r="Y173" s="803"/>
      <c r="Z173" s="803"/>
      <c r="AA173" s="803"/>
      <c r="AB173" s="803"/>
      <c r="AC173" s="803"/>
      <c r="AD173" s="803"/>
      <c r="AE173" s="803"/>
      <c r="AF173" s="803"/>
      <c r="AG173" s="803"/>
      <c r="AH173" s="803"/>
      <c r="AI173" s="803"/>
      <c r="AJ173" s="803"/>
      <c r="AK173" s="803"/>
      <c r="AL173" s="803"/>
      <c r="AM173" s="803"/>
      <c r="AN173" s="803"/>
      <c r="AO173" s="803"/>
      <c r="AP173" s="803"/>
      <c r="AQ173" s="803"/>
      <c r="AR173" s="803"/>
      <c r="AS173" s="803"/>
      <c r="AT173" s="803"/>
      <c r="AU173" s="803"/>
      <c r="AV173" s="803"/>
      <c r="AW173" s="803"/>
      <c r="AX173" s="803"/>
      <c r="AY173" s="803"/>
      <c r="AZ173" s="803"/>
      <c r="BA173" s="803"/>
      <c r="BB173" s="803"/>
      <c r="BC173" s="803"/>
      <c r="BD173" s="803"/>
      <c r="BE173" s="803"/>
      <c r="BF173" s="803"/>
      <c r="BG173" s="803"/>
      <c r="BH173" s="803"/>
      <c r="BI173" s="803"/>
      <c r="BJ173" s="804"/>
      <c r="BK173" s="21"/>
      <c r="BL173" s="21"/>
    </row>
    <row r="174" spans="2:64" s="36" customFormat="1" ht="47.25" hidden="1" customHeight="1" x14ac:dyDescent="0.3">
      <c r="B174" s="21"/>
      <c r="C174" s="802"/>
      <c r="D174" s="803"/>
      <c r="E174" s="803"/>
      <c r="F174" s="803"/>
      <c r="G174" s="803"/>
      <c r="H174" s="803"/>
      <c r="I174" s="803"/>
      <c r="J174" s="803"/>
      <c r="K174" s="803"/>
      <c r="L174" s="803"/>
      <c r="M174" s="803"/>
      <c r="N174" s="803"/>
      <c r="O174" s="803"/>
      <c r="P174" s="803"/>
      <c r="Q174" s="803"/>
      <c r="R174" s="803"/>
      <c r="S174" s="803"/>
      <c r="T174" s="803"/>
      <c r="U174" s="803"/>
      <c r="V174" s="803"/>
      <c r="W174" s="803"/>
      <c r="X174" s="803"/>
      <c r="Y174" s="803"/>
      <c r="Z174" s="803"/>
      <c r="AA174" s="803"/>
      <c r="AB174" s="803"/>
      <c r="AC174" s="803"/>
      <c r="AD174" s="803"/>
      <c r="AE174" s="803"/>
      <c r="AF174" s="803"/>
      <c r="AG174" s="803"/>
      <c r="AH174" s="803"/>
      <c r="AI174" s="803"/>
      <c r="AJ174" s="803"/>
      <c r="AK174" s="803"/>
      <c r="AL174" s="803"/>
      <c r="AM174" s="803"/>
      <c r="AN174" s="803"/>
      <c r="AO174" s="803"/>
      <c r="AP174" s="803"/>
      <c r="AQ174" s="803"/>
      <c r="AR174" s="803"/>
      <c r="AS174" s="803"/>
      <c r="AT174" s="803"/>
      <c r="AU174" s="803"/>
      <c r="AV174" s="803"/>
      <c r="AW174" s="803"/>
      <c r="AX174" s="803"/>
      <c r="AY174" s="803"/>
      <c r="AZ174" s="803"/>
      <c r="BA174" s="803"/>
      <c r="BB174" s="803"/>
      <c r="BC174" s="803"/>
      <c r="BD174" s="803"/>
      <c r="BE174" s="803"/>
      <c r="BF174" s="803"/>
      <c r="BG174" s="803"/>
      <c r="BH174" s="803"/>
      <c r="BI174" s="803"/>
      <c r="BJ174" s="804"/>
      <c r="BK174" s="21"/>
      <c r="BL174" s="21"/>
    </row>
    <row r="175" spans="2:64" ht="6" customHeight="1" thickBot="1" x14ac:dyDescent="0.35">
      <c r="B175" s="1"/>
      <c r="C175" s="805"/>
      <c r="D175" s="806"/>
      <c r="E175" s="806"/>
      <c r="F175" s="806"/>
      <c r="G175" s="806"/>
      <c r="H175" s="806"/>
      <c r="I175" s="806"/>
      <c r="J175" s="806"/>
      <c r="K175" s="806"/>
      <c r="L175" s="806"/>
      <c r="M175" s="806"/>
      <c r="N175" s="806"/>
      <c r="O175" s="806"/>
      <c r="P175" s="806"/>
      <c r="Q175" s="806"/>
      <c r="R175" s="806"/>
      <c r="S175" s="806"/>
      <c r="T175" s="806"/>
      <c r="U175" s="806"/>
      <c r="V175" s="806"/>
      <c r="W175" s="806"/>
      <c r="X175" s="806"/>
      <c r="Y175" s="806"/>
      <c r="Z175" s="806"/>
      <c r="AA175" s="806"/>
      <c r="AB175" s="806"/>
      <c r="AC175" s="806"/>
      <c r="AD175" s="806"/>
      <c r="AE175" s="806"/>
      <c r="AF175" s="806"/>
      <c r="AG175" s="806"/>
      <c r="AH175" s="806"/>
      <c r="AI175" s="806"/>
      <c r="AJ175" s="806"/>
      <c r="AK175" s="806"/>
      <c r="AL175" s="806"/>
      <c r="AM175" s="806"/>
      <c r="AN175" s="806"/>
      <c r="AO175" s="806"/>
      <c r="AP175" s="806"/>
      <c r="AQ175" s="806"/>
      <c r="AR175" s="806"/>
      <c r="AS175" s="806"/>
      <c r="AT175" s="806"/>
      <c r="AU175" s="806"/>
      <c r="AV175" s="806"/>
      <c r="AW175" s="806"/>
      <c r="AX175" s="806"/>
      <c r="AY175" s="806"/>
      <c r="AZ175" s="806"/>
      <c r="BA175" s="806"/>
      <c r="BB175" s="806"/>
      <c r="BC175" s="806"/>
      <c r="BD175" s="806"/>
      <c r="BE175" s="806"/>
      <c r="BF175" s="806"/>
      <c r="BG175" s="806"/>
      <c r="BH175" s="806"/>
      <c r="BI175" s="806"/>
      <c r="BJ175" s="807"/>
      <c r="BK175" s="1"/>
      <c r="BL175" s="1"/>
    </row>
    <row r="176" spans="2:64" ht="3.75" customHeight="1" thickBot="1" x14ac:dyDescent="0.35">
      <c r="B176" s="1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1"/>
      <c r="BL176" s="1"/>
    </row>
    <row r="177" spans="2:66" ht="28.5" customHeight="1" thickBot="1" x14ac:dyDescent="0.35">
      <c r="B177" s="1"/>
      <c r="C177" s="451" t="s">
        <v>159</v>
      </c>
      <c r="D177" s="452"/>
      <c r="E177" s="452"/>
      <c r="F177" s="452"/>
      <c r="G177" s="452"/>
      <c r="H177" s="452"/>
      <c r="I177" s="452"/>
      <c r="J177" s="452"/>
      <c r="K177" s="452"/>
      <c r="L177" s="452"/>
      <c r="M177" s="452"/>
      <c r="N177" s="452"/>
      <c r="O177" s="452"/>
      <c r="P177" s="452"/>
      <c r="Q177" s="452"/>
      <c r="R177" s="452"/>
      <c r="S177" s="452"/>
      <c r="T177" s="452"/>
      <c r="U177" s="452"/>
      <c r="V177" s="452"/>
      <c r="W177" s="452"/>
      <c r="X177" s="452"/>
      <c r="Y177" s="452"/>
      <c r="Z177" s="452"/>
      <c r="AA177" s="452"/>
      <c r="AB177" s="452"/>
      <c r="AC177" s="452"/>
      <c r="AD177" s="452"/>
      <c r="AE177" s="452"/>
      <c r="AF177" s="452"/>
      <c r="AG177" s="452"/>
      <c r="AH177" s="452"/>
      <c r="AI177" s="452"/>
      <c r="AJ177" s="452"/>
      <c r="AK177" s="452"/>
      <c r="AL177" s="452"/>
      <c r="AM177" s="452"/>
      <c r="AN177" s="452"/>
      <c r="AO177" s="452"/>
      <c r="AP177" s="452"/>
      <c r="AQ177" s="452"/>
      <c r="AR177" s="452"/>
      <c r="AS177" s="452"/>
      <c r="AT177" s="452"/>
      <c r="AU177" s="452"/>
      <c r="AV177" s="452"/>
      <c r="AW177" s="452"/>
      <c r="AX177" s="452"/>
      <c r="AY177" s="452"/>
      <c r="AZ177" s="452"/>
      <c r="BA177" s="452"/>
      <c r="BB177" s="452"/>
      <c r="BC177" s="452"/>
      <c r="BD177" s="452"/>
      <c r="BE177" s="452"/>
      <c r="BF177" s="452"/>
      <c r="BG177" s="452"/>
      <c r="BH177" s="452"/>
      <c r="BI177" s="452"/>
      <c r="BJ177" s="453"/>
      <c r="BK177" s="1"/>
      <c r="BL177" s="1"/>
    </row>
    <row r="178" spans="2:66" ht="4.5" customHeight="1" thickBot="1" x14ac:dyDescent="0.35"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80"/>
      <c r="AI178" s="280"/>
      <c r="AJ178" s="280"/>
      <c r="AK178" s="280"/>
      <c r="AL178" s="280"/>
      <c r="AM178" s="280"/>
      <c r="AN178" s="280"/>
      <c r="AO178" s="280"/>
      <c r="AP178" s="280"/>
      <c r="AQ178" s="280"/>
      <c r="AR178" s="280"/>
      <c r="AS178" s="280"/>
      <c r="AT178" s="280"/>
      <c r="AU178" s="280"/>
      <c r="AV178" s="280"/>
      <c r="AW178" s="280"/>
      <c r="AX178" s="280"/>
      <c r="AY178" s="280"/>
      <c r="AZ178" s="280"/>
      <c r="BA178" s="280"/>
      <c r="BB178" s="280"/>
      <c r="BC178" s="280"/>
      <c r="BD178" s="280"/>
      <c r="BE178" s="280"/>
      <c r="BF178" s="280"/>
      <c r="BG178" s="280"/>
      <c r="BH178" s="280"/>
      <c r="BI178" s="280"/>
      <c r="BJ178" s="280"/>
    </row>
    <row r="179" spans="2:66" ht="409.5" customHeight="1" thickBot="1" x14ac:dyDescent="0.35">
      <c r="B179" s="1"/>
      <c r="C179" s="189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  <c r="O179" s="519"/>
      <c r="P179" s="519"/>
      <c r="Q179" s="519"/>
      <c r="R179" s="519"/>
      <c r="S179" s="519"/>
      <c r="T179" s="519"/>
      <c r="U179" s="519"/>
      <c r="V179" s="519"/>
      <c r="W179" s="519"/>
      <c r="X179" s="519"/>
      <c r="Y179" s="519"/>
      <c r="Z179" s="519"/>
      <c r="AA179" s="519"/>
      <c r="AB179" s="519"/>
      <c r="AC179" s="519"/>
      <c r="AD179" s="519"/>
      <c r="AE179" s="519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9"/>
      <c r="AU179" s="519"/>
      <c r="AV179" s="519"/>
      <c r="AW179" s="519"/>
      <c r="AX179" s="519"/>
      <c r="AY179" s="519"/>
      <c r="AZ179" s="519"/>
      <c r="BA179" s="519"/>
      <c r="BB179" s="519"/>
      <c r="BC179" s="519"/>
      <c r="BD179" s="519"/>
      <c r="BE179" s="519"/>
      <c r="BF179" s="519"/>
      <c r="BG179" s="519"/>
      <c r="BH179" s="519"/>
      <c r="BI179" s="519"/>
      <c r="BJ179" s="520"/>
      <c r="BK179" s="1"/>
      <c r="BL179" s="1"/>
      <c r="BN179" s="347"/>
    </row>
    <row r="180" spans="2:66" ht="6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2:66" ht="0.75" hidden="1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280"/>
      <c r="AZ181" s="280"/>
      <c r="BA181" s="280"/>
      <c r="BB181" s="280"/>
      <c r="BC181" s="280"/>
      <c r="BD181" s="280"/>
      <c r="BE181" s="280"/>
      <c r="BF181" s="280"/>
      <c r="BG181" s="280"/>
      <c r="BH181" s="280"/>
      <c r="BI181" s="280"/>
      <c r="BJ181" s="280"/>
    </row>
    <row r="182" spans="2:66" ht="6.75" hidden="1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2:66" ht="15.75" customHeight="1" x14ac:dyDescent="0.3">
      <c r="B183" s="1"/>
      <c r="C183" s="516" t="s">
        <v>160</v>
      </c>
      <c r="D183" s="516"/>
      <c r="E183" s="516"/>
      <c r="F183" s="516"/>
      <c r="G183" s="516"/>
      <c r="H183" s="516"/>
      <c r="I183" s="516"/>
      <c r="J183" s="516"/>
      <c r="K183" s="516"/>
      <c r="L183" s="516"/>
      <c r="M183" s="516"/>
      <c r="N183" s="516"/>
      <c r="O183" s="516"/>
      <c r="P183" s="516"/>
      <c r="Q183" s="516"/>
      <c r="R183" s="516"/>
      <c r="S183" s="516"/>
      <c r="T183" s="516"/>
      <c r="U183" s="516"/>
      <c r="V183" s="516"/>
      <c r="W183" s="516"/>
      <c r="X183" s="516"/>
      <c r="Y183" s="516"/>
      <c r="Z183" s="516"/>
      <c r="AA183" s="516"/>
      <c r="AB183" s="516"/>
      <c r="AC183" s="516"/>
      <c r="AD183" s="516"/>
      <c r="AE183" s="516"/>
      <c r="AF183" s="516"/>
      <c r="AG183" s="516"/>
      <c r="AH183" s="516"/>
      <c r="AI183" s="516"/>
      <c r="AJ183" s="516"/>
      <c r="AK183" s="516"/>
      <c r="AL183" s="516"/>
      <c r="AM183" s="516"/>
      <c r="AN183" s="516"/>
      <c r="AO183" s="516"/>
      <c r="AP183" s="516"/>
      <c r="AQ183" s="516"/>
      <c r="AR183" s="516"/>
      <c r="AS183" s="516"/>
      <c r="AT183" s="516"/>
      <c r="AU183" s="516"/>
      <c r="AV183" s="516"/>
      <c r="AW183" s="516"/>
      <c r="AX183" s="516"/>
      <c r="AY183" s="516"/>
      <c r="AZ183" s="516"/>
      <c r="BA183" s="516"/>
      <c r="BB183" s="516"/>
      <c r="BC183" s="516"/>
      <c r="BD183" s="516"/>
      <c r="BE183" s="516"/>
      <c r="BF183" s="516"/>
      <c r="BG183" s="516"/>
      <c r="BH183" s="516"/>
      <c r="BI183" s="516"/>
      <c r="BJ183" s="516"/>
      <c r="BK183" s="1"/>
    </row>
    <row r="184" spans="2:66" ht="15.6" x14ac:dyDescent="0.3">
      <c r="B184" s="1"/>
      <c r="C184" s="776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77"/>
      <c r="AF184" s="777"/>
      <c r="AG184" s="777"/>
      <c r="AH184" s="777"/>
      <c r="AI184" s="777"/>
      <c r="AJ184" s="777"/>
      <c r="AK184" s="777"/>
      <c r="AL184" s="777"/>
      <c r="AM184" s="777"/>
      <c r="AN184" s="777"/>
      <c r="AO184" s="777"/>
      <c r="AP184" s="777"/>
      <c r="AQ184" s="777"/>
      <c r="AR184" s="777"/>
      <c r="AS184" s="777"/>
      <c r="AT184" s="777"/>
      <c r="AU184" s="777"/>
      <c r="AV184" s="777"/>
      <c r="AW184" s="777"/>
      <c r="AX184" s="777"/>
      <c r="AY184" s="777"/>
      <c r="AZ184" s="777"/>
      <c r="BA184" s="777"/>
      <c r="BB184" s="777"/>
      <c r="BC184" s="777"/>
      <c r="BD184" s="777"/>
      <c r="BE184" s="777"/>
      <c r="BF184" s="777"/>
      <c r="BG184" s="777"/>
      <c r="BH184" s="777"/>
      <c r="BI184" s="777"/>
      <c r="BJ184" s="778"/>
      <c r="BK184" s="1"/>
    </row>
    <row r="185" spans="2:66" ht="15.6" x14ac:dyDescent="0.3">
      <c r="B185" s="1"/>
      <c r="C185" s="779"/>
      <c r="D185" s="780"/>
      <c r="E185" s="780"/>
      <c r="F185" s="780"/>
      <c r="G185" s="780"/>
      <c r="H185" s="780"/>
      <c r="I185" s="780"/>
      <c r="J185" s="780"/>
      <c r="K185" s="780"/>
      <c r="L185" s="780"/>
      <c r="M185" s="780"/>
      <c r="N185" s="780"/>
      <c r="O185" s="780"/>
      <c r="P185" s="780"/>
      <c r="Q185" s="780"/>
      <c r="R185" s="780"/>
      <c r="S185" s="780"/>
      <c r="T185" s="780"/>
      <c r="U185" s="780"/>
      <c r="V185" s="780"/>
      <c r="W185" s="780"/>
      <c r="X185" s="780"/>
      <c r="Y185" s="780"/>
      <c r="Z185" s="780"/>
      <c r="AA185" s="780"/>
      <c r="AB185" s="780"/>
      <c r="AC185" s="780"/>
      <c r="AD185" s="780"/>
      <c r="AE185" s="780"/>
      <c r="AF185" s="780"/>
      <c r="AG185" s="780"/>
      <c r="AH185" s="780"/>
      <c r="AI185" s="780"/>
      <c r="AJ185" s="780"/>
      <c r="AK185" s="780"/>
      <c r="AL185" s="780"/>
      <c r="AM185" s="780"/>
      <c r="AN185" s="780"/>
      <c r="AO185" s="780"/>
      <c r="AP185" s="780"/>
      <c r="AQ185" s="780"/>
      <c r="AR185" s="780"/>
      <c r="AS185" s="780"/>
      <c r="AT185" s="780"/>
      <c r="AU185" s="780"/>
      <c r="AV185" s="780"/>
      <c r="AW185" s="780"/>
      <c r="AX185" s="780"/>
      <c r="AY185" s="780"/>
      <c r="AZ185" s="780"/>
      <c r="BA185" s="780"/>
      <c r="BB185" s="780"/>
      <c r="BC185" s="780"/>
      <c r="BD185" s="780"/>
      <c r="BE185" s="780"/>
      <c r="BF185" s="780"/>
      <c r="BG185" s="780"/>
      <c r="BH185" s="780"/>
      <c r="BI185" s="780"/>
      <c r="BJ185" s="781"/>
      <c r="BK185" s="1"/>
    </row>
    <row r="186" spans="2:66" ht="21.75" customHeight="1" x14ac:dyDescent="0.3">
      <c r="B186" s="1"/>
      <c r="C186" s="782"/>
      <c r="D186" s="783"/>
      <c r="E186" s="783"/>
      <c r="F186" s="783"/>
      <c r="G186" s="783"/>
      <c r="H186" s="783"/>
      <c r="I186" s="783"/>
      <c r="J186" s="783"/>
      <c r="K186" s="783"/>
      <c r="L186" s="783"/>
      <c r="M186" s="783"/>
      <c r="N186" s="783"/>
      <c r="O186" s="783"/>
      <c r="P186" s="783"/>
      <c r="Q186" s="783"/>
      <c r="R186" s="783"/>
      <c r="S186" s="783"/>
      <c r="T186" s="783"/>
      <c r="U186" s="783"/>
      <c r="V186" s="783"/>
      <c r="W186" s="783"/>
      <c r="X186" s="783"/>
      <c r="Y186" s="783"/>
      <c r="Z186" s="783"/>
      <c r="AA186" s="783"/>
      <c r="AB186" s="783"/>
      <c r="AC186" s="783"/>
      <c r="AD186" s="783"/>
      <c r="AE186" s="783"/>
      <c r="AF186" s="783"/>
      <c r="AG186" s="783"/>
      <c r="AH186" s="783"/>
      <c r="AI186" s="783"/>
      <c r="AJ186" s="783"/>
      <c r="AK186" s="783"/>
      <c r="AL186" s="783"/>
      <c r="AM186" s="783"/>
      <c r="AN186" s="783"/>
      <c r="AO186" s="783"/>
      <c r="AP186" s="783"/>
      <c r="AQ186" s="783"/>
      <c r="AR186" s="783"/>
      <c r="AS186" s="783"/>
      <c r="AT186" s="783"/>
      <c r="AU186" s="783"/>
      <c r="AV186" s="783"/>
      <c r="AW186" s="783"/>
      <c r="AX186" s="783"/>
      <c r="AY186" s="783"/>
      <c r="AZ186" s="783"/>
      <c r="BA186" s="783"/>
      <c r="BB186" s="783"/>
      <c r="BC186" s="783"/>
      <c r="BD186" s="783"/>
      <c r="BE186" s="783"/>
      <c r="BF186" s="783"/>
      <c r="BG186" s="783"/>
      <c r="BH186" s="783"/>
      <c r="BI186" s="783"/>
      <c r="BJ186" s="784"/>
      <c r="BK186" s="1"/>
    </row>
    <row r="187" spans="2:66" ht="15.6" x14ac:dyDescent="0.3">
      <c r="B187" s="1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2:66" ht="15.6" x14ac:dyDescent="0.3">
      <c r="C188" s="501" t="s">
        <v>161</v>
      </c>
      <c r="D188" s="501"/>
      <c r="E188" s="501"/>
      <c r="F188" s="501"/>
      <c r="G188" s="501"/>
      <c r="H188" s="501"/>
      <c r="I188" s="501"/>
      <c r="J188" s="501"/>
      <c r="K188" s="501"/>
      <c r="L188" s="501"/>
      <c r="M188" s="501"/>
      <c r="N188" s="501"/>
      <c r="O188" s="501"/>
      <c r="P188" s="501"/>
      <c r="Q188" s="501"/>
      <c r="R188" s="501"/>
      <c r="S188" s="501"/>
      <c r="T188" s="501"/>
      <c r="U188" s="501"/>
      <c r="V188" s="501"/>
      <c r="W188" s="501"/>
      <c r="X188" s="501"/>
      <c r="Y188" s="501"/>
      <c r="Z188" s="501"/>
      <c r="AA188" s="501"/>
      <c r="AB188" s="501"/>
      <c r="AC188" s="501"/>
      <c r="AD188" s="501"/>
      <c r="AE188" s="501"/>
      <c r="AF188" s="501"/>
      <c r="AG188" s="501"/>
      <c r="AH188" s="501"/>
      <c r="AI188" s="501"/>
      <c r="AJ188" s="501"/>
      <c r="AK188" s="501"/>
      <c r="AL188" s="501"/>
      <c r="AM188" s="501"/>
      <c r="AN188" s="501"/>
      <c r="AO188" s="501"/>
      <c r="AP188" s="501"/>
      <c r="AQ188" s="501"/>
      <c r="AR188" s="501"/>
      <c r="AS188" s="501"/>
      <c r="AT188" s="501"/>
      <c r="AU188" s="501"/>
      <c r="AV188" s="501"/>
      <c r="AW188" s="501"/>
      <c r="AX188" s="501"/>
      <c r="AY188" s="501"/>
      <c r="AZ188" s="501"/>
      <c r="BA188" s="501"/>
      <c r="BB188" s="501"/>
      <c r="BC188" s="501"/>
      <c r="BD188" s="501"/>
      <c r="BE188" s="501"/>
      <c r="BF188" s="501"/>
      <c r="BG188" s="501"/>
      <c r="BH188" s="501"/>
      <c r="BI188" s="501"/>
      <c r="BJ188" s="501"/>
    </row>
    <row r="189" spans="2:66" ht="15.6" x14ac:dyDescent="0.3">
      <c r="C189" s="290"/>
      <c r="D189" s="290"/>
      <c r="E189" s="280"/>
      <c r="F189" s="290"/>
      <c r="G189" s="290"/>
      <c r="H189" s="290"/>
      <c r="I189" s="290"/>
      <c r="J189" s="290"/>
      <c r="K189" s="29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</row>
    <row r="190" spans="2:66" ht="18" customHeight="1" x14ac:dyDescent="0.3">
      <c r="C190" s="502" t="s">
        <v>162</v>
      </c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</row>
    <row r="191" spans="2:66" ht="15.6" x14ac:dyDescent="0.3">
      <c r="C191" s="501" t="s">
        <v>163</v>
      </c>
      <c r="D191" s="501"/>
      <c r="E191" s="501"/>
      <c r="F191" s="501"/>
      <c r="G191" s="501"/>
      <c r="H191" s="501"/>
      <c r="I191" s="501"/>
      <c r="J191" s="501"/>
      <c r="K191" s="501"/>
      <c r="L191" s="501"/>
      <c r="M191" s="501"/>
      <c r="N191" s="501"/>
      <c r="O191" s="501"/>
      <c r="P191" s="501"/>
      <c r="Q191" s="501"/>
      <c r="R191" s="501"/>
      <c r="S191" s="501"/>
      <c r="T191" s="501"/>
      <c r="U191" s="501"/>
      <c r="V191" s="501"/>
      <c r="W191" s="501"/>
      <c r="X191" s="501"/>
      <c r="Y191" s="501"/>
      <c r="Z191" s="501"/>
      <c r="AA191" s="501"/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501"/>
      <c r="AY191" s="501"/>
      <c r="AZ191" s="501"/>
      <c r="BA191" s="501"/>
      <c r="BB191" s="501"/>
      <c r="BC191" s="501"/>
      <c r="BD191" s="501"/>
      <c r="BE191" s="501"/>
      <c r="BF191" s="501"/>
      <c r="BG191" s="501"/>
      <c r="BH191" s="501"/>
      <c r="BI191" s="501"/>
      <c r="BJ191" s="501"/>
    </row>
    <row r="192" spans="2:66" ht="5.25" customHeight="1" x14ac:dyDescent="0.3">
      <c r="C192" s="501"/>
      <c r="D192" s="501"/>
      <c r="E192" s="501"/>
      <c r="F192" s="501"/>
      <c r="G192" s="501"/>
      <c r="H192" s="501"/>
      <c r="I192" s="501"/>
      <c r="J192" s="501"/>
      <c r="K192" s="501"/>
      <c r="L192" s="501"/>
      <c r="M192" s="501"/>
      <c r="N192" s="501"/>
      <c r="O192" s="501"/>
      <c r="P192" s="501"/>
      <c r="Q192" s="501"/>
      <c r="R192" s="501"/>
      <c r="S192" s="501"/>
      <c r="T192" s="501"/>
      <c r="U192" s="501"/>
      <c r="V192" s="501"/>
      <c r="W192" s="501"/>
      <c r="X192" s="501"/>
      <c r="Y192" s="501"/>
      <c r="Z192" s="501"/>
      <c r="AA192" s="501"/>
      <c r="AB192" s="501"/>
      <c r="AC192" s="501"/>
      <c r="AD192" s="501"/>
      <c r="AE192" s="501"/>
      <c r="AF192" s="501"/>
      <c r="AG192" s="501"/>
      <c r="AH192" s="501"/>
      <c r="AI192" s="501"/>
      <c r="AJ192" s="501"/>
      <c r="AK192" s="501"/>
      <c r="AL192" s="501"/>
      <c r="AM192" s="501"/>
      <c r="AN192" s="501"/>
      <c r="AO192" s="501"/>
      <c r="AP192" s="501"/>
      <c r="AQ192" s="501"/>
      <c r="AR192" s="501"/>
      <c r="AS192" s="501"/>
      <c r="AT192" s="501"/>
      <c r="AU192" s="501"/>
      <c r="AV192" s="501"/>
      <c r="AW192" s="501"/>
      <c r="AX192" s="501"/>
      <c r="AY192" s="501"/>
      <c r="AZ192" s="501"/>
      <c r="BA192" s="501"/>
      <c r="BB192" s="501"/>
      <c r="BC192" s="501"/>
      <c r="BD192" s="501"/>
      <c r="BE192" s="501"/>
      <c r="BF192" s="501"/>
      <c r="BG192" s="501"/>
      <c r="BH192" s="501"/>
      <c r="BI192" s="501"/>
      <c r="BJ192" s="501"/>
    </row>
    <row r="193" spans="3:62" ht="30" customHeight="1" x14ac:dyDescent="0.3">
      <c r="C193" s="502" t="s">
        <v>162</v>
      </c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02"/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02"/>
      <c r="AK193" s="502"/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502"/>
      <c r="BB193" s="502"/>
      <c r="BC193" s="502"/>
      <c r="BD193" s="502"/>
      <c r="BE193" s="502"/>
      <c r="BF193" s="502"/>
      <c r="BG193" s="502"/>
      <c r="BH193" s="502"/>
      <c r="BI193" s="502"/>
      <c r="BJ193" s="502"/>
    </row>
    <row r="194" spans="3:62" ht="15.6" x14ac:dyDescent="0.3">
      <c r="C194" s="501" t="s">
        <v>164</v>
      </c>
      <c r="D194" s="501"/>
      <c r="E194" s="501"/>
      <c r="F194" s="501"/>
      <c r="G194" s="501"/>
      <c r="H194" s="501"/>
      <c r="I194" s="501"/>
      <c r="J194" s="501"/>
      <c r="K194" s="501"/>
      <c r="L194" s="501"/>
      <c r="M194" s="501"/>
      <c r="N194" s="501"/>
      <c r="O194" s="501"/>
      <c r="P194" s="501"/>
      <c r="Q194" s="501"/>
      <c r="R194" s="501"/>
      <c r="S194" s="501"/>
      <c r="T194" s="501"/>
      <c r="U194" s="501"/>
      <c r="V194" s="501"/>
      <c r="W194" s="501"/>
      <c r="X194" s="501"/>
      <c r="Y194" s="501"/>
      <c r="Z194" s="501"/>
      <c r="AA194" s="501"/>
      <c r="AB194" s="501"/>
      <c r="AC194" s="501"/>
      <c r="AD194" s="501"/>
      <c r="AE194" s="501"/>
      <c r="AF194" s="501"/>
      <c r="AG194" s="501"/>
      <c r="AH194" s="501"/>
      <c r="AI194" s="501"/>
      <c r="AJ194" s="501"/>
      <c r="AK194" s="501"/>
      <c r="AL194" s="501"/>
      <c r="AM194" s="501"/>
      <c r="AN194" s="501"/>
      <c r="AO194" s="501"/>
      <c r="AP194" s="501"/>
      <c r="AQ194" s="501"/>
      <c r="AR194" s="501"/>
      <c r="AS194" s="501"/>
      <c r="AT194" s="501"/>
      <c r="AU194" s="501"/>
      <c r="AV194" s="501"/>
      <c r="AW194" s="501"/>
      <c r="AX194" s="501"/>
      <c r="AY194" s="501"/>
      <c r="AZ194" s="501"/>
      <c r="BA194" s="501"/>
      <c r="BB194" s="501"/>
      <c r="BC194" s="501"/>
      <c r="BD194" s="501"/>
      <c r="BE194" s="501"/>
      <c r="BF194" s="501"/>
      <c r="BG194" s="501"/>
      <c r="BH194" s="501"/>
      <c r="BI194" s="501"/>
      <c r="BJ194" s="501"/>
    </row>
    <row r="195" spans="3:62" ht="15.6" x14ac:dyDescent="0.3">
      <c r="C195" s="501" t="s">
        <v>165</v>
      </c>
      <c r="D195" s="501"/>
      <c r="E195" s="501"/>
      <c r="F195" s="501"/>
      <c r="G195" s="501"/>
      <c r="H195" s="501"/>
      <c r="I195" s="501"/>
      <c r="J195" s="501"/>
      <c r="K195" s="501"/>
      <c r="L195" s="501"/>
      <c r="M195" s="501"/>
      <c r="N195" s="501"/>
      <c r="O195" s="501"/>
      <c r="P195" s="501"/>
      <c r="Q195" s="501"/>
      <c r="R195" s="501"/>
      <c r="S195" s="501"/>
      <c r="T195" s="501"/>
      <c r="U195" s="501"/>
      <c r="V195" s="501"/>
      <c r="W195" s="501"/>
      <c r="X195" s="501"/>
      <c r="Y195" s="501"/>
      <c r="Z195" s="501"/>
      <c r="AA195" s="501"/>
      <c r="AB195" s="501"/>
      <c r="AC195" s="501"/>
      <c r="AD195" s="501"/>
      <c r="AE195" s="501"/>
      <c r="AF195" s="501"/>
      <c r="AG195" s="501"/>
      <c r="AH195" s="501"/>
      <c r="AI195" s="501"/>
      <c r="AJ195" s="501"/>
      <c r="AK195" s="501"/>
      <c r="AL195" s="501"/>
      <c r="AM195" s="501"/>
      <c r="AN195" s="501"/>
      <c r="AO195" s="501"/>
      <c r="AP195" s="501"/>
      <c r="AQ195" s="501"/>
      <c r="AR195" s="501"/>
      <c r="AS195" s="501"/>
      <c r="AT195" s="501"/>
      <c r="AU195" s="501"/>
      <c r="AV195" s="501"/>
      <c r="AW195" s="501"/>
      <c r="AX195" s="501"/>
      <c r="AY195" s="501"/>
      <c r="AZ195" s="501"/>
      <c r="BA195" s="501"/>
      <c r="BB195" s="501"/>
      <c r="BC195" s="501"/>
      <c r="BD195" s="501"/>
      <c r="BE195" s="501"/>
      <c r="BF195" s="501"/>
      <c r="BG195" s="501"/>
      <c r="BH195" s="501"/>
      <c r="BI195" s="501"/>
      <c r="BJ195" s="501"/>
    </row>
    <row r="196" spans="3:62" ht="4.5" customHeight="1" x14ac:dyDescent="0.3">
      <c r="C196" s="501"/>
      <c r="D196" s="501"/>
      <c r="E196" s="501"/>
      <c r="F196" s="501"/>
      <c r="G196" s="501"/>
      <c r="H196" s="501"/>
      <c r="I196" s="501"/>
      <c r="J196" s="501"/>
      <c r="K196" s="501"/>
      <c r="L196" s="501"/>
      <c r="M196" s="501"/>
      <c r="N196" s="501"/>
      <c r="O196" s="501"/>
      <c r="P196" s="501"/>
      <c r="Q196" s="501"/>
      <c r="R196" s="501"/>
      <c r="S196" s="501"/>
      <c r="T196" s="501"/>
      <c r="U196" s="501"/>
      <c r="V196" s="501"/>
      <c r="W196" s="501"/>
      <c r="X196" s="501"/>
      <c r="Y196" s="501"/>
      <c r="Z196" s="501"/>
      <c r="AA196" s="501"/>
      <c r="AB196" s="501"/>
      <c r="AC196" s="501"/>
      <c r="AD196" s="501"/>
      <c r="AE196" s="501"/>
      <c r="AF196" s="501"/>
      <c r="AG196" s="501"/>
      <c r="AH196" s="501"/>
      <c r="AI196" s="501"/>
      <c r="AJ196" s="501"/>
      <c r="AK196" s="501"/>
      <c r="AL196" s="501"/>
      <c r="AM196" s="501"/>
      <c r="AN196" s="501"/>
      <c r="AO196" s="501"/>
      <c r="AP196" s="501"/>
      <c r="AQ196" s="501"/>
      <c r="AR196" s="501"/>
      <c r="AS196" s="501"/>
      <c r="AT196" s="501"/>
      <c r="AU196" s="501"/>
      <c r="AV196" s="501"/>
      <c r="AW196" s="501"/>
      <c r="AX196" s="501"/>
      <c r="AY196" s="501"/>
      <c r="AZ196" s="501"/>
      <c r="BA196" s="501"/>
      <c r="BB196" s="501"/>
      <c r="BC196" s="501"/>
      <c r="BD196" s="501"/>
      <c r="BE196" s="501"/>
      <c r="BF196" s="501"/>
      <c r="BG196" s="501"/>
      <c r="BH196" s="501"/>
      <c r="BI196" s="501"/>
      <c r="BJ196" s="501"/>
    </row>
    <row r="197" spans="3:62" ht="14.25" customHeight="1" x14ac:dyDescent="0.3">
      <c r="C197" s="501" t="s">
        <v>4</v>
      </c>
      <c r="D197" s="501"/>
      <c r="E197" s="501"/>
      <c r="F197" s="501"/>
      <c r="G197" s="501"/>
      <c r="H197" s="501"/>
      <c r="I197" s="501"/>
      <c r="J197" s="501"/>
      <c r="K197" s="501"/>
      <c r="L197" s="501"/>
      <c r="M197" s="501"/>
      <c r="N197" s="501"/>
      <c r="O197" s="501"/>
      <c r="P197" s="501"/>
      <c r="Q197" s="501"/>
      <c r="R197" s="501"/>
      <c r="S197" s="501"/>
      <c r="T197" s="501"/>
      <c r="U197" s="501"/>
      <c r="V197" s="501"/>
      <c r="W197" s="501"/>
      <c r="X197" s="501"/>
      <c r="Y197" s="501"/>
      <c r="Z197" s="501"/>
      <c r="AA197" s="501"/>
      <c r="AB197" s="501"/>
      <c r="AC197" s="501"/>
      <c r="AD197" s="501"/>
      <c r="AE197" s="501"/>
      <c r="AF197" s="501"/>
      <c r="AG197" s="501"/>
      <c r="AH197" s="501"/>
      <c r="AI197" s="501"/>
      <c r="AJ197" s="501"/>
      <c r="AK197" s="501"/>
      <c r="AL197" s="501"/>
      <c r="AM197" s="501"/>
      <c r="AN197" s="501"/>
      <c r="AO197" s="501"/>
      <c r="AP197" s="501"/>
      <c r="AQ197" s="501"/>
      <c r="AR197" s="501"/>
      <c r="AS197" s="501"/>
      <c r="AT197" s="501"/>
      <c r="AU197" s="501"/>
      <c r="AV197" s="501"/>
      <c r="AW197" s="501"/>
      <c r="AX197" s="501"/>
      <c r="AY197" s="501"/>
      <c r="AZ197" s="501"/>
      <c r="BA197" s="501"/>
      <c r="BB197" s="501"/>
      <c r="BC197" s="501"/>
      <c r="BD197" s="501"/>
      <c r="BE197" s="501"/>
      <c r="BF197" s="501"/>
      <c r="BG197" s="501"/>
      <c r="BH197" s="501"/>
      <c r="BI197" s="501"/>
      <c r="BJ197" s="501"/>
    </row>
    <row r="198" spans="3:62" ht="15" customHeight="1" x14ac:dyDescent="0.3"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0"/>
      <c r="AD198" s="280"/>
      <c r="AE198" s="280"/>
      <c r="AF198" s="280"/>
      <c r="AG198" s="280"/>
      <c r="AH198" s="280"/>
      <c r="AI198" s="280"/>
      <c r="AJ198" s="280"/>
      <c r="AK198" s="280"/>
      <c r="AL198" s="280"/>
      <c r="AM198" s="280"/>
      <c r="AN198" s="280"/>
      <c r="AO198" s="280"/>
      <c r="AP198" s="280"/>
      <c r="AQ198" s="280"/>
      <c r="AR198" s="280"/>
      <c r="AS198" s="280"/>
      <c r="AT198" s="280"/>
      <c r="AU198" s="280"/>
      <c r="AV198" s="280"/>
      <c r="AW198" s="280"/>
      <c r="AX198" s="280"/>
      <c r="AY198" s="280"/>
      <c r="AZ198" s="280"/>
      <c r="BA198" s="280"/>
      <c r="BB198" s="280"/>
      <c r="BC198" s="280"/>
      <c r="BD198" s="280"/>
      <c r="BE198" s="280"/>
      <c r="BF198" s="280"/>
      <c r="BG198" s="280"/>
      <c r="BH198" s="280"/>
      <c r="BI198" s="280"/>
      <c r="BJ198" s="280"/>
    </row>
    <row r="199" spans="3:62" ht="15" customHeight="1" x14ac:dyDescent="0.3"/>
    <row r="200" spans="3:62" ht="15" customHeight="1" x14ac:dyDescent="0.3"/>
    <row r="201" spans="3:62" ht="15" customHeight="1" x14ac:dyDescent="0.3"/>
  </sheetData>
  <sheetProtection algorithmName="SHA-512" hashValue="ohaEe1nuwY5XptbE6WqHQxs24PElmXHNgMyT8Po3v4UagGDjP3jX7tkLGnXSXMzYIfVAUwLd8QK5zIzjY/K5Xw==" saltValue="7nncZrSnRmh329ekYBo9RA==" spinCount="100000" sheet="1" selectLockedCells="1"/>
  <dataConsolidate/>
  <mergeCells count="632">
    <mergeCell ref="AD34:AN34"/>
    <mergeCell ref="AO34:BA34"/>
    <mergeCell ref="BB34:BJ34"/>
    <mergeCell ref="AY169:BB169"/>
    <mergeCell ref="C169:AX169"/>
    <mergeCell ref="C167:AX167"/>
    <mergeCell ref="AY167:BB167"/>
    <mergeCell ref="BC167:BE167"/>
    <mergeCell ref="AZ128:BC128"/>
    <mergeCell ref="BD128:BJ128"/>
    <mergeCell ref="C129:K129"/>
    <mergeCell ref="L129:Q129"/>
    <mergeCell ref="R129:V129"/>
    <mergeCell ref="W129:AB129"/>
    <mergeCell ref="AC129:AH129"/>
    <mergeCell ref="AI129:AM129"/>
    <mergeCell ref="AN129:AQ129"/>
    <mergeCell ref="AR129:AU129"/>
    <mergeCell ref="AV129:AY129"/>
    <mergeCell ref="AZ129:BC129"/>
    <mergeCell ref="BD129:BJ129"/>
    <mergeCell ref="C128:K128"/>
    <mergeCell ref="L128:Q128"/>
    <mergeCell ref="R128:V128"/>
    <mergeCell ref="W128:AB128"/>
    <mergeCell ref="AC128:AH128"/>
    <mergeCell ref="AI128:AM128"/>
    <mergeCell ref="AN128:AQ128"/>
    <mergeCell ref="AR128:AU128"/>
    <mergeCell ref="AV128:AY128"/>
    <mergeCell ref="AZ126:BC126"/>
    <mergeCell ref="BD126:BJ126"/>
    <mergeCell ref="C127:K127"/>
    <mergeCell ref="L127:Q127"/>
    <mergeCell ref="R127:V127"/>
    <mergeCell ref="W127:AB127"/>
    <mergeCell ref="AC127:AH127"/>
    <mergeCell ref="AI127:AM127"/>
    <mergeCell ref="AN127:AQ127"/>
    <mergeCell ref="AR127:AU127"/>
    <mergeCell ref="AV127:AY127"/>
    <mergeCell ref="AZ127:BC127"/>
    <mergeCell ref="BD127:BJ127"/>
    <mergeCell ref="C126:K126"/>
    <mergeCell ref="L126:Q126"/>
    <mergeCell ref="R126:V126"/>
    <mergeCell ref="W126:AB126"/>
    <mergeCell ref="AC126:AH126"/>
    <mergeCell ref="AI126:AM126"/>
    <mergeCell ref="AN126:AQ126"/>
    <mergeCell ref="AR126:AU126"/>
    <mergeCell ref="AV126:AY126"/>
    <mergeCell ref="AZ124:BC124"/>
    <mergeCell ref="BD124:BJ124"/>
    <mergeCell ref="C125:K125"/>
    <mergeCell ref="L125:Q125"/>
    <mergeCell ref="R125:V125"/>
    <mergeCell ref="W125:AB125"/>
    <mergeCell ref="AC125:AH125"/>
    <mergeCell ref="AI125:AM125"/>
    <mergeCell ref="AN125:AQ125"/>
    <mergeCell ref="AR125:AU125"/>
    <mergeCell ref="AV125:AY125"/>
    <mergeCell ref="AZ125:BC125"/>
    <mergeCell ref="BD125:BJ125"/>
    <mergeCell ref="C124:K124"/>
    <mergeCell ref="L124:Q124"/>
    <mergeCell ref="R124:V124"/>
    <mergeCell ref="W124:AB124"/>
    <mergeCell ref="AC124:AH124"/>
    <mergeCell ref="AI124:AM124"/>
    <mergeCell ref="AN124:AQ124"/>
    <mergeCell ref="AR124:AU124"/>
    <mergeCell ref="AV124:AY124"/>
    <mergeCell ref="AZ122:BC122"/>
    <mergeCell ref="BD122:BJ122"/>
    <mergeCell ref="C123:K123"/>
    <mergeCell ref="L123:Q123"/>
    <mergeCell ref="R123:V123"/>
    <mergeCell ref="W123:AB123"/>
    <mergeCell ref="AC123:AH123"/>
    <mergeCell ref="AI123:AM123"/>
    <mergeCell ref="AN123:AQ123"/>
    <mergeCell ref="AR123:AU123"/>
    <mergeCell ref="AV123:AY123"/>
    <mergeCell ref="AZ123:BC123"/>
    <mergeCell ref="BD123:BJ123"/>
    <mergeCell ref="C122:K122"/>
    <mergeCell ref="L122:Q122"/>
    <mergeCell ref="R122:V122"/>
    <mergeCell ref="W122:AB122"/>
    <mergeCell ref="AC122:AH122"/>
    <mergeCell ref="AI122:AM122"/>
    <mergeCell ref="AN122:AQ122"/>
    <mergeCell ref="AR122:AU122"/>
    <mergeCell ref="AV122:AY122"/>
    <mergeCell ref="AZ120:BC120"/>
    <mergeCell ref="BD120:BJ120"/>
    <mergeCell ref="L119:Q119"/>
    <mergeCell ref="R119:V119"/>
    <mergeCell ref="L120:Q120"/>
    <mergeCell ref="R120:V120"/>
    <mergeCell ref="C121:K121"/>
    <mergeCell ref="L121:Q121"/>
    <mergeCell ref="R121:V121"/>
    <mergeCell ref="W121:AB121"/>
    <mergeCell ref="AC121:AH121"/>
    <mergeCell ref="AI121:AM121"/>
    <mergeCell ref="AN121:AQ121"/>
    <mergeCell ref="AR121:AU121"/>
    <mergeCell ref="AV121:AY121"/>
    <mergeCell ref="AZ121:BC121"/>
    <mergeCell ref="BD121:BJ121"/>
    <mergeCell ref="C120:K120"/>
    <mergeCell ref="W120:AB120"/>
    <mergeCell ref="AC120:AH120"/>
    <mergeCell ref="AI120:AM120"/>
    <mergeCell ref="AN120:AQ120"/>
    <mergeCell ref="AR120:AU120"/>
    <mergeCell ref="AV120:AY120"/>
    <mergeCell ref="AI119:AM119"/>
    <mergeCell ref="AN119:AQ119"/>
    <mergeCell ref="AR119:AU119"/>
    <mergeCell ref="AV119:AY119"/>
    <mergeCell ref="AZ119:BC119"/>
    <mergeCell ref="BD119:BJ119"/>
    <mergeCell ref="C190:BJ190"/>
    <mergeCell ref="C188:BJ188"/>
    <mergeCell ref="C118:BJ118"/>
    <mergeCell ref="C119:K119"/>
    <mergeCell ref="W119:AB119"/>
    <mergeCell ref="AC119:AH119"/>
    <mergeCell ref="AI138:BJ138"/>
    <mergeCell ref="C184:BJ186"/>
    <mergeCell ref="BH155:BJ155"/>
    <mergeCell ref="AF147:AI147"/>
    <mergeCell ref="AT147:AW147"/>
    <mergeCell ref="AL158:AN158"/>
    <mergeCell ref="AL160:AN160"/>
    <mergeCell ref="R147:AD147"/>
    <mergeCell ref="AY145:BJ147"/>
    <mergeCell ref="AK145:AR145"/>
    <mergeCell ref="AK147:AR147"/>
    <mergeCell ref="C171:BJ175"/>
    <mergeCell ref="AY103:BJ103"/>
    <mergeCell ref="C103:AX103"/>
    <mergeCell ref="AU104:AX104"/>
    <mergeCell ref="AU105:AX105"/>
    <mergeCell ref="AU106:AX106"/>
    <mergeCell ref="AU107:AX107"/>
    <mergeCell ref="AU108:AX108"/>
    <mergeCell ref="AF107:AH107"/>
    <mergeCell ref="AQ107:AT107"/>
    <mergeCell ref="AF108:AH108"/>
    <mergeCell ref="AQ108:AT108"/>
    <mergeCell ref="T104:W104"/>
    <mergeCell ref="Q106:S106"/>
    <mergeCell ref="T106:W106"/>
    <mergeCell ref="Q107:S107"/>
    <mergeCell ref="T107:W107"/>
    <mergeCell ref="Q108:S108"/>
    <mergeCell ref="T108:W108"/>
    <mergeCell ref="Q104:S104"/>
    <mergeCell ref="X106:AA106"/>
    <mergeCell ref="AB106:AE106"/>
    <mergeCell ref="AI106:AJ106"/>
    <mergeCell ref="AK106:AM106"/>
    <mergeCell ref="BF106:BJ106"/>
    <mergeCell ref="BF107:BJ107"/>
    <mergeCell ref="Q105:S105"/>
    <mergeCell ref="T105:W105"/>
    <mergeCell ref="AY105:BB105"/>
    <mergeCell ref="AY106:BB106"/>
    <mergeCell ref="AY107:BB107"/>
    <mergeCell ref="BH105:BJ105"/>
    <mergeCell ref="AY108:BB108"/>
    <mergeCell ref="J108:M108"/>
    <mergeCell ref="N108:P108"/>
    <mergeCell ref="X108:AA108"/>
    <mergeCell ref="AB108:AE108"/>
    <mergeCell ref="AI108:AJ108"/>
    <mergeCell ref="AK108:AM108"/>
    <mergeCell ref="AN108:AP108"/>
    <mergeCell ref="BC106:BE106"/>
    <mergeCell ref="BC108:BE108"/>
    <mergeCell ref="BF108:BJ108"/>
    <mergeCell ref="AN105:AP105"/>
    <mergeCell ref="AQ105:AT105"/>
    <mergeCell ref="X105:AA105"/>
    <mergeCell ref="AB105:AE105"/>
    <mergeCell ref="AI105:AJ105"/>
    <mergeCell ref="AK105:AM105"/>
    <mergeCell ref="J107:M107"/>
    <mergeCell ref="BC107:BE107"/>
    <mergeCell ref="X107:AA107"/>
    <mergeCell ref="AB107:AE107"/>
    <mergeCell ref="AI107:AJ107"/>
    <mergeCell ref="AK107:AM107"/>
    <mergeCell ref="AN107:AP107"/>
    <mergeCell ref="AF106:AH106"/>
    <mergeCell ref="AQ106:AT106"/>
    <mergeCell ref="AN106:AP106"/>
    <mergeCell ref="N107:P107"/>
    <mergeCell ref="N106:P106"/>
    <mergeCell ref="AJ62:AO62"/>
    <mergeCell ref="AD61:AF63"/>
    <mergeCell ref="AG61:AI63"/>
    <mergeCell ref="BH104:BJ104"/>
    <mergeCell ref="N104:P104"/>
    <mergeCell ref="AY104:BB104"/>
    <mergeCell ref="C106:I106"/>
    <mergeCell ref="J106:M106"/>
    <mergeCell ref="M97:Q97"/>
    <mergeCell ref="M98:Q98"/>
    <mergeCell ref="C100:G100"/>
    <mergeCell ref="AI100:AZ101"/>
    <mergeCell ref="C101:G101"/>
    <mergeCell ref="C98:G98"/>
    <mergeCell ref="C99:G99"/>
    <mergeCell ref="R97:AD97"/>
    <mergeCell ref="R98:AD98"/>
    <mergeCell ref="R99:AD99"/>
    <mergeCell ref="R100:AD100"/>
    <mergeCell ref="C97:G97"/>
    <mergeCell ref="C105:I105"/>
    <mergeCell ref="J105:M105"/>
    <mergeCell ref="AK104:AM104"/>
    <mergeCell ref="AN104:AP104"/>
    <mergeCell ref="AR66:AZ66"/>
    <mergeCell ref="BE66:BJ66"/>
    <mergeCell ref="BA66:BD66"/>
    <mergeCell ref="N87:P87"/>
    <mergeCell ref="C77:BJ77"/>
    <mergeCell ref="BG72:BI72"/>
    <mergeCell ref="BG73:BI73"/>
    <mergeCell ref="C72:BF72"/>
    <mergeCell ref="C73:BF73"/>
    <mergeCell ref="C75:BJ75"/>
    <mergeCell ref="C81:BJ81"/>
    <mergeCell ref="AO66:AQ66"/>
    <mergeCell ref="J68:R68"/>
    <mergeCell ref="C87:M87"/>
    <mergeCell ref="C83:BJ83"/>
    <mergeCell ref="AT85:AX85"/>
    <mergeCell ref="Y85:AS85"/>
    <mergeCell ref="Q87:BJ87"/>
    <mergeCell ref="AY85:BD85"/>
    <mergeCell ref="BE85:BJ85"/>
    <mergeCell ref="AF145:AI145"/>
    <mergeCell ref="R150:X150"/>
    <mergeCell ref="R151:X151"/>
    <mergeCell ref="C95:G95"/>
    <mergeCell ref="C96:G96"/>
    <mergeCell ref="R93:AD93"/>
    <mergeCell ref="R94:AD94"/>
    <mergeCell ref="R95:AD95"/>
    <mergeCell ref="C85:R85"/>
    <mergeCell ref="M94:Q94"/>
    <mergeCell ref="S85:X85"/>
    <mergeCell ref="C91:AD91"/>
    <mergeCell ref="AI91:BJ91"/>
    <mergeCell ref="M93:Q93"/>
    <mergeCell ref="H93:L93"/>
    <mergeCell ref="C93:G93"/>
    <mergeCell ref="C108:I108"/>
    <mergeCell ref="AF104:AH104"/>
    <mergeCell ref="AQ104:AT104"/>
    <mergeCell ref="AF105:AH105"/>
    <mergeCell ref="BA96:BJ97"/>
    <mergeCell ref="X104:AA104"/>
    <mergeCell ref="N105:P105"/>
    <mergeCell ref="BC104:BE104"/>
    <mergeCell ref="AI93:BJ94"/>
    <mergeCell ref="BA100:BJ101"/>
    <mergeCell ref="AI96:AZ97"/>
    <mergeCell ref="AQ59:BA59"/>
    <mergeCell ref="BF59:BJ59"/>
    <mergeCell ref="AA59:AH59"/>
    <mergeCell ref="C64:BJ64"/>
    <mergeCell ref="AK66:AN66"/>
    <mergeCell ref="AV68:BJ68"/>
    <mergeCell ref="J66:R66"/>
    <mergeCell ref="S66:AH66"/>
    <mergeCell ref="C80:R80"/>
    <mergeCell ref="C76:BJ76"/>
    <mergeCell ref="C74:BJ74"/>
    <mergeCell ref="C68:I68"/>
    <mergeCell ref="S80:U80"/>
    <mergeCell ref="C70:R70"/>
    <mergeCell ref="S68:AH68"/>
    <mergeCell ref="S70:AH70"/>
    <mergeCell ref="AI70:AU70"/>
    <mergeCell ref="AI68:AU68"/>
    <mergeCell ref="AV70:BJ70"/>
    <mergeCell ref="C61:Y63"/>
    <mergeCell ref="C78:BJ78"/>
    <mergeCell ref="M96:Q96"/>
    <mergeCell ref="C104:I104"/>
    <mergeCell ref="J104:M104"/>
    <mergeCell ref="AB104:AE104"/>
    <mergeCell ref="AI104:AJ104"/>
    <mergeCell ref="BB136:BJ136"/>
    <mergeCell ref="AP136:AX136"/>
    <mergeCell ref="R136:AL136"/>
    <mergeCell ref="AS134:BG134"/>
    <mergeCell ref="AS135:BJ135"/>
    <mergeCell ref="BH134:BJ134"/>
    <mergeCell ref="AG131:AK131"/>
    <mergeCell ref="H101:L101"/>
    <mergeCell ref="AI98:AZ99"/>
    <mergeCell ref="H100:L100"/>
    <mergeCell ref="R101:AD101"/>
    <mergeCell ref="AJ135:AN135"/>
    <mergeCell ref="AO135:AR135"/>
    <mergeCell ref="AJ134:AN134"/>
    <mergeCell ref="R96:AD96"/>
    <mergeCell ref="AQ109:AT109"/>
    <mergeCell ref="AU109:AX109"/>
    <mergeCell ref="AY109:BB109"/>
    <mergeCell ref="C107:I107"/>
    <mergeCell ref="BK23:BQ23"/>
    <mergeCell ref="C26:BJ26"/>
    <mergeCell ref="BK26:BQ26"/>
    <mergeCell ref="C30:BJ30"/>
    <mergeCell ref="BK30:BQ30"/>
    <mergeCell ref="C27:BJ27"/>
    <mergeCell ref="C24:BJ24"/>
    <mergeCell ref="C25:BJ25"/>
    <mergeCell ref="M52:AJ52"/>
    <mergeCell ref="C44:BJ44"/>
    <mergeCell ref="AX35:AZ35"/>
    <mergeCell ref="S35:AB35"/>
    <mergeCell ref="BA35:BJ35"/>
    <mergeCell ref="AA42:AK42"/>
    <mergeCell ref="AD46:AF46"/>
    <mergeCell ref="AG46:AJ46"/>
    <mergeCell ref="C49:BJ49"/>
    <mergeCell ref="C50:L50"/>
    <mergeCell ref="C51:L51"/>
    <mergeCell ref="C52:L52"/>
    <mergeCell ref="O42:Z42"/>
    <mergeCell ref="AL42:BJ42"/>
    <mergeCell ref="C47:R47"/>
    <mergeCell ref="S47:AC47"/>
    <mergeCell ref="BK17:BQ17"/>
    <mergeCell ref="C18:BJ18"/>
    <mergeCell ref="BK18:BQ18"/>
    <mergeCell ref="C19:BJ19"/>
    <mergeCell ref="BK19:BQ19"/>
    <mergeCell ref="C20:BJ20"/>
    <mergeCell ref="BK20:BQ20"/>
    <mergeCell ref="C21:BJ21"/>
    <mergeCell ref="BK21:BQ21"/>
    <mergeCell ref="C17:BJ17"/>
    <mergeCell ref="J2:BI2"/>
    <mergeCell ref="C32:BJ32"/>
    <mergeCell ref="AC35:AK35"/>
    <mergeCell ref="AO35:AW35"/>
    <mergeCell ref="C40:G40"/>
    <mergeCell ref="H40:BJ40"/>
    <mergeCell ref="S39:BJ39"/>
    <mergeCell ref="AA41:AK41"/>
    <mergeCell ref="C23:BJ23"/>
    <mergeCell ref="C8:BJ8"/>
    <mergeCell ref="C13:BJ13"/>
    <mergeCell ref="C15:BJ15"/>
    <mergeCell ref="C16:BJ16"/>
    <mergeCell ref="C35:R35"/>
    <mergeCell ref="C39:R39"/>
    <mergeCell ref="C37:BJ37"/>
    <mergeCell ref="C41:N41"/>
    <mergeCell ref="O41:Z41"/>
    <mergeCell ref="AL41:BJ41"/>
    <mergeCell ref="C7:BJ7"/>
    <mergeCell ref="C34:N34"/>
    <mergeCell ref="X34:AC34"/>
    <mergeCell ref="O34:W34"/>
    <mergeCell ref="C22:BJ22"/>
    <mergeCell ref="M50:AJ50"/>
    <mergeCell ref="AK50:AN50"/>
    <mergeCell ref="AO50:AU50"/>
    <mergeCell ref="AV50:AY50"/>
    <mergeCell ref="AK51:AN51"/>
    <mergeCell ref="C42:N42"/>
    <mergeCell ref="AD47:AJ47"/>
    <mergeCell ref="AK47:BJ47"/>
    <mergeCell ref="C46:AC46"/>
    <mergeCell ref="AZ50:BJ50"/>
    <mergeCell ref="AK52:AN52"/>
    <mergeCell ref="AO51:AU51"/>
    <mergeCell ref="AO52:AU52"/>
    <mergeCell ref="Z61:AC63"/>
    <mergeCell ref="C58:T58"/>
    <mergeCell ref="U58:AH58"/>
    <mergeCell ref="AI58:AP58"/>
    <mergeCell ref="C54:AU54"/>
    <mergeCell ref="C56:BJ56"/>
    <mergeCell ref="AV54:BJ54"/>
    <mergeCell ref="M51:AJ51"/>
    <mergeCell ref="AJ63:AV63"/>
    <mergeCell ref="BC61:BJ61"/>
    <mergeCell ref="BC62:BJ62"/>
    <mergeCell ref="AP61:AV61"/>
    <mergeCell ref="AP62:AV62"/>
    <mergeCell ref="AW61:BB61"/>
    <mergeCell ref="AW62:BB62"/>
    <mergeCell ref="AW63:BJ63"/>
    <mergeCell ref="AQ58:BJ58"/>
    <mergeCell ref="BB59:BE59"/>
    <mergeCell ref="U59:Z59"/>
    <mergeCell ref="F59:T59"/>
    <mergeCell ref="AJ61:AO61"/>
    <mergeCell ref="C197:BJ197"/>
    <mergeCell ref="M101:Q101"/>
    <mergeCell ref="R132:AF132"/>
    <mergeCell ref="AG132:AK132"/>
    <mergeCell ref="M99:Q99"/>
    <mergeCell ref="M100:Q100"/>
    <mergeCell ref="H95:L95"/>
    <mergeCell ref="H96:L96"/>
    <mergeCell ref="H97:L97"/>
    <mergeCell ref="H98:L98"/>
    <mergeCell ref="AP150:AV150"/>
    <mergeCell ref="AP151:AV151"/>
    <mergeCell ref="BC151:BJ151"/>
    <mergeCell ref="C195:BJ195"/>
    <mergeCell ref="C183:BJ183"/>
    <mergeCell ref="C151:Q151"/>
    <mergeCell ref="AY136:BA136"/>
    <mergeCell ref="D179:BJ179"/>
    <mergeCell ref="C152:Q152"/>
    <mergeCell ref="C153:Q153"/>
    <mergeCell ref="C196:BJ196"/>
    <mergeCell ref="H99:L99"/>
    <mergeCell ref="C155:BG155"/>
    <mergeCell ref="M95:Q95"/>
    <mergeCell ref="C111:I111"/>
    <mergeCell ref="J111:M111"/>
    <mergeCell ref="N111:P111"/>
    <mergeCell ref="Q111:S111"/>
    <mergeCell ref="T111:W111"/>
    <mergeCell ref="X111:AA111"/>
    <mergeCell ref="J110:M110"/>
    <mergeCell ref="N110:P110"/>
    <mergeCell ref="Q110:S110"/>
    <mergeCell ref="T110:W110"/>
    <mergeCell ref="X110:AA110"/>
    <mergeCell ref="AB110:AE110"/>
    <mergeCell ref="AF110:AH110"/>
    <mergeCell ref="AI110:AJ110"/>
    <mergeCell ref="AK110:AM110"/>
    <mergeCell ref="AN110:AP110"/>
    <mergeCell ref="AQ110:AT110"/>
    <mergeCell ref="AU110:AX110"/>
    <mergeCell ref="AY110:BB110"/>
    <mergeCell ref="AF111:AH111"/>
    <mergeCell ref="AI111:AJ111"/>
    <mergeCell ref="AK111:AM111"/>
    <mergeCell ref="AN111:AP111"/>
    <mergeCell ref="AQ111:AT111"/>
    <mergeCell ref="AU111:AX111"/>
    <mergeCell ref="AY111:BB111"/>
    <mergeCell ref="C194:BJ194"/>
    <mergeCell ref="C191:BJ191"/>
    <mergeCell ref="C192:BJ192"/>
    <mergeCell ref="R131:AF131"/>
    <mergeCell ref="C193:BJ193"/>
    <mergeCell ref="BC110:BE110"/>
    <mergeCell ref="BF110:BJ110"/>
    <mergeCell ref="C112:I112"/>
    <mergeCell ref="J112:M112"/>
    <mergeCell ref="N112:P112"/>
    <mergeCell ref="Q112:S112"/>
    <mergeCell ref="T112:W112"/>
    <mergeCell ref="X112:AA112"/>
    <mergeCell ref="AB112:AE112"/>
    <mergeCell ref="AF112:AH112"/>
    <mergeCell ref="AI112:AJ112"/>
    <mergeCell ref="AK112:AM112"/>
    <mergeCell ref="AN112:AP112"/>
    <mergeCell ref="AQ112:AT112"/>
    <mergeCell ref="AU112:AX112"/>
    <mergeCell ref="AY112:BB112"/>
    <mergeCell ref="AB111:AE111"/>
    <mergeCell ref="C131:Q132"/>
    <mergeCell ref="R134:AD134"/>
    <mergeCell ref="C177:BJ177"/>
    <mergeCell ref="BF158:BJ158"/>
    <mergeCell ref="AO158:BE158"/>
    <mergeCell ref="AO160:BE160"/>
    <mergeCell ref="BF160:BJ160"/>
    <mergeCell ref="C150:Q150"/>
    <mergeCell ref="C164:BJ164"/>
    <mergeCell ref="C156:BG156"/>
    <mergeCell ref="C134:Q136"/>
    <mergeCell ref="AR143:AT143"/>
    <mergeCell ref="C143:Z143"/>
    <mergeCell ref="AA143:AE143"/>
    <mergeCell ref="AF143:AQ143"/>
    <mergeCell ref="AE138:AG138"/>
    <mergeCell ref="C141:BJ141"/>
    <mergeCell ref="AU143:BJ143"/>
    <mergeCell ref="C160:AK160"/>
    <mergeCell ref="C158:AK158"/>
    <mergeCell ref="C149:BJ149"/>
    <mergeCell ref="BH156:BJ156"/>
    <mergeCell ref="C145:P147"/>
    <mergeCell ref="BC169:BE169"/>
    <mergeCell ref="AW151:BB151"/>
    <mergeCell ref="AW152:BB152"/>
    <mergeCell ref="BB131:BJ131"/>
    <mergeCell ref="AL131:BA131"/>
    <mergeCell ref="R145:AD145"/>
    <mergeCell ref="AP152:AV152"/>
    <mergeCell ref="BC152:BJ152"/>
    <mergeCell ref="AP153:AV153"/>
    <mergeCell ref="BC153:BJ153"/>
    <mergeCell ref="AF150:AO150"/>
    <mergeCell ref="AF151:AO151"/>
    <mergeCell ref="AM136:AO136"/>
    <mergeCell ref="R135:AD135"/>
    <mergeCell ref="AE135:AI135"/>
    <mergeCell ref="AW153:BB153"/>
    <mergeCell ref="AF152:AO152"/>
    <mergeCell ref="AF153:AO153"/>
    <mergeCell ref="AW150:BB150"/>
    <mergeCell ref="R152:X152"/>
    <mergeCell ref="R153:X153"/>
    <mergeCell ref="Y150:AE150"/>
    <mergeCell ref="Y151:AE151"/>
    <mergeCell ref="Y152:AE152"/>
    <mergeCell ref="Y153:AE153"/>
    <mergeCell ref="BC150:BJ150"/>
    <mergeCell ref="AT145:AW145"/>
    <mergeCell ref="BA98:BJ99"/>
    <mergeCell ref="C66:I66"/>
    <mergeCell ref="AI66:AJ66"/>
    <mergeCell ref="H94:L94"/>
    <mergeCell ref="C94:G94"/>
    <mergeCell ref="C138:AD138"/>
    <mergeCell ref="AL132:BJ132"/>
    <mergeCell ref="AE134:AI134"/>
    <mergeCell ref="AO134:AR134"/>
    <mergeCell ref="C109:I109"/>
    <mergeCell ref="J109:M109"/>
    <mergeCell ref="N109:P109"/>
    <mergeCell ref="Q109:S109"/>
    <mergeCell ref="T109:W109"/>
    <mergeCell ref="X109:AA109"/>
    <mergeCell ref="AB109:AE109"/>
    <mergeCell ref="AF109:AH109"/>
    <mergeCell ref="AI109:AJ109"/>
    <mergeCell ref="AK109:AM109"/>
    <mergeCell ref="AN109:AP109"/>
    <mergeCell ref="BC109:BE109"/>
    <mergeCell ref="BF109:BJ109"/>
    <mergeCell ref="C110:I110"/>
    <mergeCell ref="BC111:BE111"/>
    <mergeCell ref="AI114:AJ114"/>
    <mergeCell ref="AK113:AM113"/>
    <mergeCell ref="N113:P113"/>
    <mergeCell ref="Q113:S113"/>
    <mergeCell ref="T113:W113"/>
    <mergeCell ref="X113:AA113"/>
    <mergeCell ref="AB113:AE113"/>
    <mergeCell ref="AF113:AH113"/>
    <mergeCell ref="BF111:BJ111"/>
    <mergeCell ref="AN113:AP113"/>
    <mergeCell ref="AQ113:AT113"/>
    <mergeCell ref="AU113:AX113"/>
    <mergeCell ref="AY113:BB113"/>
    <mergeCell ref="BC113:BE113"/>
    <mergeCell ref="BF113:BJ113"/>
    <mergeCell ref="BC112:BE112"/>
    <mergeCell ref="BF112:BJ112"/>
    <mergeCell ref="J113:M113"/>
    <mergeCell ref="C114:I114"/>
    <mergeCell ref="J114:M114"/>
    <mergeCell ref="N114:P114"/>
    <mergeCell ref="Q114:S114"/>
    <mergeCell ref="T114:W114"/>
    <mergeCell ref="X114:AA114"/>
    <mergeCell ref="AB114:AE114"/>
    <mergeCell ref="AF114:AH114"/>
    <mergeCell ref="C28:BJ28"/>
    <mergeCell ref="C29:BJ29"/>
    <mergeCell ref="AN115:AP115"/>
    <mergeCell ref="AQ115:AT115"/>
    <mergeCell ref="AU115:AX115"/>
    <mergeCell ref="AY115:BB115"/>
    <mergeCell ref="BC115:BE115"/>
    <mergeCell ref="BF115:BJ115"/>
    <mergeCell ref="C116:I116"/>
    <mergeCell ref="J116:M116"/>
    <mergeCell ref="N116:P116"/>
    <mergeCell ref="Q116:S116"/>
    <mergeCell ref="T116:W116"/>
    <mergeCell ref="X116:AA116"/>
    <mergeCell ref="AB116:AE116"/>
    <mergeCell ref="AF116:AH116"/>
    <mergeCell ref="AI116:AJ116"/>
    <mergeCell ref="AK116:AM116"/>
    <mergeCell ref="C89:BJ89"/>
    <mergeCell ref="AN116:AP116"/>
    <mergeCell ref="AQ116:AT116"/>
    <mergeCell ref="AU116:AX116"/>
    <mergeCell ref="AY116:BB116"/>
    <mergeCell ref="BC116:BE116"/>
    <mergeCell ref="C162:AK162"/>
    <mergeCell ref="AL162:AN162"/>
    <mergeCell ref="AO162:BE162"/>
    <mergeCell ref="BF162:BJ162"/>
    <mergeCell ref="BF116:BJ116"/>
    <mergeCell ref="AI113:AJ113"/>
    <mergeCell ref="AK115:AM115"/>
    <mergeCell ref="AK114:AM114"/>
    <mergeCell ref="AN114:AP114"/>
    <mergeCell ref="AQ114:AT114"/>
    <mergeCell ref="AU114:AX114"/>
    <mergeCell ref="AY114:BB114"/>
    <mergeCell ref="BC114:BE114"/>
    <mergeCell ref="BF114:BJ114"/>
    <mergeCell ref="C115:I115"/>
    <mergeCell ref="J115:M115"/>
    <mergeCell ref="N115:P115"/>
    <mergeCell ref="Q115:S115"/>
    <mergeCell ref="T115:W115"/>
    <mergeCell ref="X115:AA115"/>
    <mergeCell ref="AB115:AE115"/>
    <mergeCell ref="AF115:AH115"/>
    <mergeCell ref="AI115:AJ115"/>
    <mergeCell ref="C113:I113"/>
  </mergeCells>
  <conditionalFormatting sqref="C7">
    <cfRule type="expression" dxfId="94" priority="239">
      <formula>TRUE</formula>
    </cfRule>
    <cfRule type="expression" dxfId="93" priority="238">
      <formula>LEFT($C$7,4)="Opa!"</formula>
    </cfRule>
  </conditionalFormatting>
  <conditionalFormatting sqref="C8:P8">
    <cfRule type="expression" dxfId="92" priority="97">
      <formula>LEFT($C$4,12)="Tudo pronto!"</formula>
    </cfRule>
    <cfRule type="expression" dxfId="91" priority="96">
      <formula>LEFT($C$4,4)="Opa!"</formula>
    </cfRule>
  </conditionalFormatting>
  <conditionalFormatting sqref="C66:BJ66">
    <cfRule type="expression" dxfId="87" priority="68">
      <formula>$AA$59="Rural"</formula>
    </cfRule>
  </conditionalFormatting>
  <conditionalFormatting sqref="C68:BJ68">
    <cfRule type="expression" dxfId="86" priority="67">
      <formula>$AA$59="Urbana"</formula>
    </cfRule>
  </conditionalFormatting>
  <conditionalFormatting sqref="C89:BJ89">
    <cfRule type="expression" dxfId="84" priority="56">
      <formula>AND($C$89&lt;&gt;"",$AT$85="Sim")</formula>
    </cfRule>
  </conditionalFormatting>
  <conditionalFormatting sqref="Q87 BK87 C89:BK89">
    <cfRule type="expression" dxfId="77" priority="49">
      <formula>$AT$85="Não"</formula>
    </cfRule>
  </conditionalFormatting>
  <conditionalFormatting sqref="S80">
    <cfRule type="expression" dxfId="75" priority="127">
      <formula>OR(#REF!="Alteração de Carga",#REF!="Caixa Existente sem Alteração",#REF!="Desligamento")</formula>
    </cfRule>
  </conditionalFormatting>
  <conditionalFormatting sqref="Z61 AP62 BC62">
    <cfRule type="expression" dxfId="72" priority="1363">
      <formula>$AD$34="Conexão Nova"</formula>
    </cfRule>
  </conditionalFormatting>
  <conditionalFormatting sqref="AD61:BJ63 C64:BJ64">
    <cfRule type="expression" dxfId="70" priority="46">
      <formula>$Z$61="Não"</formula>
    </cfRule>
  </conditionalFormatting>
  <conditionalFormatting sqref="AE138:AG138">
    <cfRule type="expression" dxfId="69" priority="24">
      <formula>$AE$138&lt;&gt;""</formula>
    </cfRule>
    <cfRule type="expression" dxfId="68" priority="23">
      <formula>$AE$138=""</formula>
    </cfRule>
  </conditionalFormatting>
  <conditionalFormatting sqref="AF153">
    <cfRule type="expression" dxfId="67" priority="25">
      <formula>AND($AA$143="Verde",$AR$143="Sim")</formula>
    </cfRule>
  </conditionalFormatting>
  <conditionalFormatting sqref="AF150:AO152">
    <cfRule type="expression" dxfId="66" priority="27">
      <formula>AND($AA$143="Verde",$AR$143="Sim")</formula>
    </cfRule>
  </conditionalFormatting>
  <conditionalFormatting sqref="AF153:AV153">
    <cfRule type="expression" dxfId="65" priority="26">
      <formula>AND($AA$143="Verde",$AR$143="Sim")</formula>
    </cfRule>
  </conditionalFormatting>
  <conditionalFormatting sqref="AG46:AJ46">
    <cfRule type="expression" dxfId="64" priority="44">
      <formula>$AD$46="Não"</formula>
    </cfRule>
  </conditionalFormatting>
  <conditionalFormatting sqref="AJ62 AW62">
    <cfRule type="expression" dxfId="62" priority="1364">
      <formula>AND($AD$34&lt;&gt;"Conexão Nova",$Z$61="Sim")</formula>
    </cfRule>
    <cfRule type="expression" dxfId="61" priority="1366">
      <formula>OR($AD$34="Conexão Nova",$Z$61="Não")</formula>
    </cfRule>
  </conditionalFormatting>
  <conditionalFormatting sqref="AL158 AL160">
    <cfRule type="expression" dxfId="56" priority="130">
      <formula>#REF!="3 - Desejo ser beneficiado apenas com o(s) seguinte(s) item(ns):"</formula>
    </cfRule>
  </conditionalFormatting>
  <conditionalFormatting sqref="AL162">
    <cfRule type="expression" dxfId="55" priority="30">
      <formula>#REF!="3 - Desejo ser beneficiado apenas com o(s) seguinte(s) item(ns):"</formula>
    </cfRule>
  </conditionalFormatting>
  <conditionalFormatting sqref="AO34:BA34">
    <cfRule type="expression" dxfId="54" priority="20">
      <formula>$AD$34=""</formula>
    </cfRule>
    <cfRule type="expression" dxfId="53" priority="21">
      <formula>$AD$34="Conexão Nova"</formula>
    </cfRule>
  </conditionalFormatting>
  <conditionalFormatting sqref="AO158:BJ158">
    <cfRule type="expression" dxfId="52" priority="66">
      <formula>$AL$158="Não"</formula>
    </cfRule>
  </conditionalFormatting>
  <conditionalFormatting sqref="AO160:BJ160">
    <cfRule type="expression" dxfId="51" priority="64">
      <formula>$AL$160="Não"</formula>
    </cfRule>
  </conditionalFormatting>
  <conditionalFormatting sqref="AO162:BJ162">
    <cfRule type="expression" dxfId="50" priority="29">
      <formula>$AL$160="Não"</formula>
    </cfRule>
  </conditionalFormatting>
  <conditionalFormatting sqref="AP150:AV152">
    <cfRule type="expression" dxfId="49" priority="28">
      <formula>AND($AA$143="Verde",$AR$143="Sim")</formula>
    </cfRule>
  </conditionalFormatting>
  <conditionalFormatting sqref="AT85">
    <cfRule type="expression" dxfId="48" priority="15">
      <formula>CK81=""</formula>
    </cfRule>
  </conditionalFormatting>
  <conditionalFormatting sqref="AT85:AX85 S85:X85">
    <cfRule type="expression" dxfId="47" priority="8">
      <formula>TRUE</formula>
    </cfRule>
  </conditionalFormatting>
  <conditionalFormatting sqref="AY85:BJ85">
    <cfRule type="expression" dxfId="46" priority="2347">
      <formula>$AT$85="Sim"</formula>
    </cfRule>
    <cfRule type="expression" dxfId="45" priority="2344">
      <formula>$AT$85&lt;&gt;"Sim"</formula>
    </cfRule>
  </conditionalFormatting>
  <conditionalFormatting sqref="BB34:BJ34">
    <cfRule type="expression" dxfId="44" priority="22">
      <formula>$AD$34="Conexão Nova"</formula>
    </cfRule>
    <cfRule type="expression" dxfId="43" priority="19">
      <formula>$AD$34=""</formula>
    </cfRule>
  </conditionalFormatting>
  <conditionalFormatting sqref="BE85:BJ85">
    <cfRule type="expression" dxfId="41" priority="2346">
      <formula>$AT$85="Sim"</formula>
    </cfRule>
  </conditionalFormatting>
  <conditionalFormatting sqref="BG72:BG74">
    <cfRule type="expression" dxfId="40" priority="237">
      <formula>OR(T36="Alteração de Carga",T36="Caixa Existente sem Alteração",T36="Desligamento")</formula>
    </cfRule>
  </conditionalFormatting>
  <conditionalFormatting sqref="BJ72:BJ74">
    <cfRule type="expression" dxfId="39" priority="95">
      <formula>$G$75="URBANO"</formula>
    </cfRule>
  </conditionalFormatting>
  <dataValidations xWindow="787" yWindow="462" count="34">
    <dataValidation type="list" allowBlank="1" showErrorMessage="1" sqref="O34" xr:uid="{00000000-0002-0000-0000-000000000000}">
      <formula1>"Mercado Cativo,Mercado Livre"</formula1>
    </dataValidation>
    <dataValidation type="list" allowBlank="1" showErrorMessage="1" sqref="R144" xr:uid="{00000000-0002-0000-0000-00000C000000}">
      <formula1>"Aéreo,Subterrâneo"</formula1>
    </dataValidation>
    <dataValidation type="list" allowBlank="1" showErrorMessage="1" sqref="Z61 S80 BG72:BG74 BH134 AR143 AS144" xr:uid="{00000000-0002-0000-0000-000011000000}">
      <formula1>"Sim,Não"</formula1>
    </dataValidation>
    <dataValidation type="list" allowBlank="1" showInputMessage="1" showErrorMessage="1" sqref="S88 AE139 AE138:AG138 AT85 S86" xr:uid="{40C063B1-5FF3-4BE0-830D-951981E9D366}">
      <formula1>"Sim,Não"</formula1>
    </dataValidation>
    <dataValidation type="list" allowBlank="1" showInputMessage="1" showErrorMessage="1" sqref="W88" xr:uid="{1853976A-A862-486F-8A14-8BA39C13DF1E}">
      <mc:AlternateContent xmlns:x12ac="http://schemas.microsoft.com/office/spreadsheetml/2011/1/ac" xmlns:mc="http://schemas.openxmlformats.org/markup-compatibility/2006">
        <mc:Choice Requires="x12ac">
          <x12ac:list>"13,8 KV", 22 KV," 34,5 KV"</x12ac:list>
        </mc:Choice>
        <mc:Fallback>
          <formula1>"13,8 KV, 22 KV, 34,5 KV"</formula1>
        </mc:Fallback>
      </mc:AlternateContent>
    </dataValidation>
    <dataValidation type="list" allowBlank="1" showInputMessage="1" showErrorMessage="1" sqref="S85" xr:uid="{FC7DE51F-8A5F-4B62-9AC1-DBD1F7E2E472}">
      <mc:AlternateContent xmlns:x12ac="http://schemas.microsoft.com/office/spreadsheetml/2011/1/ac" xmlns:mc="http://schemas.openxmlformats.org/markup-compatibility/2006">
        <mc:Choice Requires="x12ac">
          <x12ac:list>"13,8",22,"34,5"</x12ac:list>
        </mc:Choice>
        <mc:Fallback>
          <formula1>"13,8,22,34,5"</formula1>
        </mc:Fallback>
      </mc:AlternateContent>
    </dataValidation>
    <dataValidation type="decimal" operator="greaterThan" allowBlank="1" showInputMessage="1" showErrorMessage="1" error="Demanda Minima permitida 30 KW" prompt="Carga instalada em kW" sqref="V133:W133" xr:uid="{460FDC4E-54F7-412D-AFE1-6A25CF6D2CF2}">
      <formula1>29</formula1>
    </dataValidation>
    <dataValidation type="whole" allowBlank="1" showInputMessage="1" showErrorMessage="1" sqref="X88:Y88 V88" xr:uid="{1F0862D2-3FA1-4A9D-94CF-46B130BBBAE8}">
      <formula1>1</formula1>
      <formula2>10</formula2>
    </dataValidation>
    <dataValidation allowBlank="1" showErrorMessage="1" sqref="AO34 AM142:AN162 BH155:BJ156 AP150:AV153 AM136:AO137 BC150:BJ153 AO142:AO163" xr:uid="{35945367-73A8-434D-81B2-79A7CB553A72}"/>
    <dataValidation allowBlank="1" showInputMessage="1" showErrorMessage="1" prompt="Informar e-mail do proprietário" sqref="K42:O43" xr:uid="{9EACBC10-7EC3-4515-A1B7-AAAA6D909005}"/>
    <dataValidation type="list" allowBlank="1" showErrorMessage="1" sqref="AA59:AA60" xr:uid="{00000000-0002-0000-0000-00000E000000}">
      <formula1>"Urbana,Rural"</formula1>
    </dataValidation>
    <dataValidation allowBlank="1" showInputMessage="1" showErrorMessage="1" prompt="Latitude - Valor da latitude em número com seis casas decimais (se atente para uso de ponto ou vírgula corretamente)._x000a__x000a_Ex.: -22,123456" sqref="AD61 AK62:AM62 AJ61:AJ62" xr:uid="{A8183E6C-8101-45B8-BBC4-FECD4C2249BE}"/>
    <dataValidation type="decimal" operator="greaterThan" allowBlank="1" showInputMessage="1" showErrorMessage="1" error="Demanda Minima permitida 30 KW" prompt="Carga instalada em kVA" sqref="AG131:AK131" xr:uid="{33288776-02E6-4B2D-AAD6-58FF71276574}">
      <formula1>29</formula1>
    </dataValidation>
    <dataValidation type="whole" operator="greaterThan" allowBlank="1" showErrorMessage="1" error="Demanda Minima permitida 30 KW" prompt="Carga instalada em kW" sqref="T133:U133 AG132" xr:uid="{6067D2ED-D3CA-487C-A2E4-40199D62932A}">
      <formula1>0</formula1>
    </dataValidation>
    <dataValidation type="list" allowBlank="1" showInputMessage="1" showErrorMessage="1" sqref="AA143" xr:uid="{B0B9C8C1-B093-5E48-918E-C8DC32DAE9F3}">
      <formula1>"Verde,Azul"</formula1>
    </dataValidation>
    <dataValidation type="date" operator="lessThanOrEqual" allowBlank="1" showInputMessage="1" showErrorMessage="1" prompt="Início de Uso - Formato DD/MM/AAAA - Favor inserir as barras" sqref="AC148:AE148 AD151:AE154 AW150:AW154" xr:uid="{00000000-0002-0000-0000-000007000000}">
      <formula1>73415</formula1>
    </dataValidation>
    <dataValidation operator="lessThanOrEqual" allowBlank="1" showInputMessage="1" showErrorMessage="1" prompt="Início de Uso - Formato DD/MM/AAAA - Favor inserir as barras" sqref="AK147:AS147" xr:uid="{705B0A15-A909-442A-A1F3-3BA6A52F980E}"/>
    <dataValidation type="list" allowBlank="1" showInputMessage="1" showErrorMessage="1" prompt="Favor escolher entre &quot;Sim&quot; ou &quot;Não&quot;" sqref="AI159 AL158 AL160:AL162" xr:uid="{440B998A-8751-4590-AA92-7C0DCAA23F0A}">
      <formula1>"Sim,Não"</formula1>
    </dataValidation>
    <dataValidation type="custom" allowBlank="1" showInputMessage="1" showErrorMessage="1" error="&quot;Digite uma longitude entre -51.04 e -39.85&quot;" prompt="Longitude - Valor da longitude em número com seis casas decimais (se atente para uso de ponto ou vírgula corretamente)._x000a__x000a_Ex.: -42,123456" sqref="BC61:BJ62" xr:uid="{69CD37FF-E4BB-47C2-A0F1-DCFA16D8621C}">
      <formula1>AND(BC61&gt;=-51.04, BC61&lt;=-39.85)</formula1>
    </dataValidation>
    <dataValidation type="list" allowBlank="1" showInputMessage="1" showErrorMessage="1" prompt="Fuso: Valor do fuso local em graus._x000a__x000a_Ex: 22°,23°,24°" sqref="AG61:AI63" xr:uid="{78D71245-728C-4D11-97EC-B799F252C39F}">
      <formula1>"22°,23°,24°"</formula1>
    </dataValidation>
    <dataValidation type="list" allowBlank="1" showErrorMessage="1" sqref="AP142 AM136:AM137 AM142" xr:uid="{CAE03C34-61A9-40DC-9CF2-BBE1A7790EEA}">
      <formula1>$BJ$152:$BJ$160</formula1>
    </dataValidation>
    <dataValidation type="list" allowBlank="1" showInputMessage="1" showErrorMessage="1" prompt="Responder sim ou não " sqref="AD46" xr:uid="{5EFE2899-B722-434F-BE78-440FB6DF6ACA}">
      <formula1>"Sim,Não"</formula1>
    </dataValidation>
    <dataValidation type="list" allowBlank="1" showErrorMessage="1" sqref="H48" xr:uid="{DCEFCD33-7C85-4371-9ADA-87DCFF55691F}">
      <formula1>"E-mail,Endereço,Agência Correios(Caixa postal)"</formula1>
    </dataValidation>
    <dataValidation type="list" allowBlank="1" showInputMessage="1" showErrorMessage="1" prompt="Favor escolher data para vencimento da fatura" sqref="AG46" xr:uid="{37C6C19C-8D6A-4C53-A9CA-BAC00E5A4CBB}">
      <formula1>"1,6,11,17,22,27"</formula1>
    </dataValidation>
    <dataValidation type="custom" allowBlank="1" showInputMessage="1" showErrorMessage="1" error="&quot;Favor informar E-mails diferentes para cliente e solicitante!&quot;" sqref="AL41:BJ41" xr:uid="{E9CD4BE7-B132-494C-BE41-C4CD16767F8C}">
      <formula1>AL41&lt;&gt;AL42</formula1>
    </dataValidation>
    <dataValidation type="custom" allowBlank="1" showInputMessage="1" showErrorMessage="1" error="&quot;Favor informar E-mails diferentes para cliente e solicitante!&quot;" sqref="AL42:BJ42" xr:uid="{512E8466-C0BB-401B-A779-FA321942299D}">
      <formula1>AL42&lt;&gt;AL41</formula1>
    </dataValidation>
    <dataValidation type="custom" allowBlank="1" showInputMessage="1" showErrorMessage="1" error="&quot;Digite uma latitude entre -22.90 e -14.23&quot;" prompt="Latitude - Valor da latitude em número com seis casas decimais (se atente para uso de ponto ou vírgula corretamente)._x000a__x000a_Ex.: -22,123456" sqref="AP61:AV62" xr:uid="{60A7634D-6DEF-43A8-AD37-152A7BD8A52C}">
      <formula1>AND(AP61&gt;=-22.9, AP61&lt;=-14.23)</formula1>
    </dataValidation>
    <dataValidation type="custom" allowBlank="1" showInputMessage="1" showErrorMessage="1" error="Valor da demanda de contrato precisa ser menor ou igual ao valor da potência total dos transformadores!" sqref="AF145:AI145" xr:uid="{1EEBFD10-8EDB-4BFA-AF1A-382CDBEB41E6}">
      <formula1>AF145&lt;=$H$101</formula1>
    </dataValidation>
    <dataValidation type="custom" allowBlank="1" showInputMessage="1" showErrorMessage="1" error="Valor da demanda de contrato precisa ser menor ou igual ao valor da potência total dos transformadores!" sqref="AT145:AW145" xr:uid="{D7114161-E421-4730-949C-F0EF3C454883}">
      <formula1>AT145&lt;=H101</formula1>
    </dataValidation>
    <dataValidation type="custom" allowBlank="1" showInputMessage="1" showErrorMessage="1" error="Valor da demanda de contrato precisa ser menor ou igual ao valor da potência total dos transformadores!_x000a_" sqref="AF147:AI147" xr:uid="{AA54EA60-1BFF-4B4C-AE2A-042B2B996D55}">
      <formula1>AF147&lt;=H101</formula1>
    </dataValidation>
    <dataValidation type="custom" allowBlank="1" showInputMessage="1" showErrorMessage="1" error="Valor da demanda de contrato precisa ser menor ou igual ao valor da potência total dos transformadores!" sqref="AT147:AW147" xr:uid="{3AEC9FE8-DC54-4F26-9CBE-F18474CC5DF0}">
      <formula1>AT147&lt;=H101</formula1>
    </dataValidation>
    <dataValidation type="custom" allowBlank="1" showInputMessage="1" showErrorMessage="1" error="ERRO" sqref="BK135" xr:uid="{AC69B17D-0E26-4EF8-A407-9B28994F4ED6}">
      <formula1>BK135</formula1>
    </dataValidation>
    <dataValidation allowBlank="1" showInputMessage="1" showErrorMessage="1" error="ERRO" sqref="H101:L101" xr:uid="{1AD4D4A2-EF2A-4A18-9BBB-5334D8C5AE0C}"/>
    <dataValidation type="whole" allowBlank="1" showInputMessage="1" showErrorMessage="1" sqref="AI86:AK86 N87:P87" xr:uid="{F21C9CDD-8C23-4105-82DE-E190323B01CD}">
      <formula1>0</formula1>
      <formula2>10</formula2>
    </dataValidation>
  </dataValidations>
  <hyperlinks>
    <hyperlink ref="C18" r:id="rId1" xr:uid="{8AF97912-C669-47F6-8736-D5F72511A0B9}"/>
    <hyperlink ref="C27" r:id="rId2" xr:uid="{ABCA8886-F51D-4557-B900-52770222C2AF}"/>
    <hyperlink ref="C25" r:id="rId3" xr:uid="{60BC854B-6707-48A0-A150-17326A0698B4}"/>
    <hyperlink ref="C22" r:id="rId4" xr:uid="{B8D1A370-E729-4D15-A7E1-B428CBB570FA}"/>
    <hyperlink ref="C29" r:id="rId5" xr:uid="{D26F9CBE-C37F-4A4C-B2AF-8B3B56D0295B}"/>
  </hyperlinks>
  <pageMargins left="0.7" right="0.7" top="0.75" bottom="0.75" header="0" footer="0"/>
  <pageSetup paperSize="9" scale="48" fitToHeight="0" orientation="portrait" r:id="rId6"/>
  <headerFooter>
    <oddFooter>&amp;R_x000D_&amp;1#&amp;"Calibri"&amp;10&amp;K000000 Classificação: Direcionado</oddFooter>
  </headerFooter>
  <rowBreaks count="2" manualBreakCount="2">
    <brk id="76" min="1" max="62" man="1"/>
    <brk id="162" min="1" max="62" man="1"/>
  </rowBreaks>
  <drawing r:id="rId7"/>
  <legacyDrawing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366B063-8F89-4501-83BE-1CEE1B3457CD}">
            <xm:f>CALCULOS!$D$80</xm:f>
            <x14:dxf>
              <font>
                <color theme="2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9" id="{9D0D0E56-0F5B-477B-993B-E7E06E9862BE}">
            <xm:f>CALCULOS!$D$109=0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C87:Q87 C89</xm:sqref>
        </x14:conditionalFormatting>
        <x14:conditionalFormatting xmlns:xm="http://schemas.microsoft.com/office/excel/2006/main">
          <x14:cfRule type="expression" priority="38" id="{2126E08F-56B4-4E9A-B295-8F9EAAF3FD25}">
            <xm:f>CALCULOS!$D$89</xm:f>
            <x14:dxf>
              <font>
                <color theme="1"/>
              </font>
              <fill>
                <patternFill>
                  <bgColor theme="8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C143:Z143 AF143:AQ143 AU143:BJ143 R145:AD145 C145:P147 AY145:BJ147 C149:BJ149 C150:X153 AF150:AO153 AW150:BB153 R147:AD147</xm:sqref>
        </x14:conditionalFormatting>
        <x14:conditionalFormatting xmlns:xm="http://schemas.microsoft.com/office/excel/2006/main">
          <x14:cfRule type="expression" priority="1" id="{F100CFA7-868E-4C3A-8D2E-F96082173EB8}">
            <xm:f>CALCULOS!$D$109=0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C87:BJ89</xm:sqref>
        </x14:conditionalFormatting>
        <x14:conditionalFormatting xmlns:xm="http://schemas.microsoft.com/office/excel/2006/main">
          <x14:cfRule type="expression" priority="72" id="{DC38F361-2E63-4432-B732-D02F31F65BDB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C131:BJ132</xm:sqref>
        </x14:conditionalFormatting>
        <x14:conditionalFormatting xmlns:xm="http://schemas.microsoft.com/office/excel/2006/main">
          <x14:cfRule type="expression" priority="78" id="{EBA8559C-6326-4A57-8308-0BE6BFBFAA8B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C134:BJ136 AH138</xm:sqref>
        </x14:conditionalFormatting>
        <x14:conditionalFormatting xmlns:xm="http://schemas.microsoft.com/office/excel/2006/main">
          <x14:cfRule type="expression" priority="34" id="{3EEC66AA-B3C6-4815-939E-C8076E7227DD}">
            <xm:f>CALCULOS!$D$88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C149:BJ149 C150:X153 AF150:AO153 AW150:BB153 C143:Z143 AF143:AQ143 AU143:BJ143 R145:AD145 C145:P147 AY145:BJ147</xm:sqref>
        </x14:conditionalFormatting>
        <x14:conditionalFormatting xmlns:xm="http://schemas.microsoft.com/office/excel/2006/main">
          <x14:cfRule type="expression" priority="32" id="{E7181044-BABE-4BF6-8C78-7EAC710A4A47}">
            <xm:f>CALCULOS!$D$74=0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C149:BJ153</xm:sqref>
        </x14:conditionalFormatting>
        <x14:conditionalFormatting xmlns:xm="http://schemas.microsoft.com/office/excel/2006/main">
          <x14:cfRule type="expression" priority="71" id="{5ACE2F55-247B-4F47-A00C-B011B9D6B225}">
            <xm:f>CALCULOS!$D$78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C155:BJ156</xm:sqref>
        </x14:conditionalFormatting>
        <x14:conditionalFormatting xmlns:xm="http://schemas.microsoft.com/office/excel/2006/main">
          <x14:cfRule type="expression" priority="53" id="{B527AFDF-3862-40ED-BD2A-5E524E8037B9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H101:L101</xm:sqref>
        </x14:conditionalFormatting>
        <x14:conditionalFormatting xmlns:xm="http://schemas.microsoft.com/office/excel/2006/main">
          <x14:cfRule type="expression" priority="35" id="{1AF9C68B-FEBB-4530-A180-893729712153}">
            <xm:f>CALCULOS!$D$86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R147:AD147 AF147:AI147 AK147:AR147 AT147:AW147</xm:sqref>
        </x14:conditionalFormatting>
        <x14:conditionalFormatting xmlns:xm="http://schemas.microsoft.com/office/excel/2006/main">
          <x14:cfRule type="expression" priority="6" id="{B69DC79D-3E93-44F1-BDB4-7D2274A15864}">
            <xm:f>CALCULOS!$D$80=0</xm:f>
            <x14:dxf>
              <font>
                <color theme="1"/>
              </font>
              <fill>
                <patternFill>
                  <bgColor theme="2" tint="-0.14996795556505021"/>
                </patternFill>
              </fill>
              <border>
                <left/>
                <right/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Y85:AS85</xm:sqref>
        </x14:conditionalFormatting>
        <x14:conditionalFormatting xmlns:xm="http://schemas.microsoft.com/office/excel/2006/main">
          <x14:cfRule type="expression" priority="3" id="{F578C0D5-9E0F-4FC1-975F-BCBD1D8B6AB3}">
            <xm:f>CALCULOS!$D$80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Y85:BJ85 C87:BJ87</xm:sqref>
        </x14:conditionalFormatting>
        <x14:conditionalFormatting xmlns:xm="http://schemas.microsoft.com/office/excel/2006/main">
          <x14:cfRule type="expression" priority="57" id="{90389829-F9AB-4609-B2C7-44CF59E96260}">
            <xm:f>CALCULOS!$D$103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AD47 AK47</xm:sqref>
        </x14:conditionalFormatting>
        <x14:conditionalFormatting xmlns:xm="http://schemas.microsoft.com/office/excel/2006/main">
          <x14:cfRule type="expression" priority="55" id="{B7DFA093-9443-482C-BB29-3EC03432C111}">
            <xm:f>CALCULOS!$D$111=0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AI138:BJ138 C141:BJ141</xm:sqref>
        </x14:conditionalFormatting>
        <x14:conditionalFormatting xmlns:xm="http://schemas.microsoft.com/office/excel/2006/main">
          <x14:cfRule type="expression" priority="36" id="{441E7DB6-729E-4720-9A38-0C4F5B8739EE}">
            <xm:f>CALCULOS!$D$86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AK145:AR145 C149:BJ149 C150:X153 AF150:AO153 AW150:BB153 C143:Z143 AF143:AQ143 AU143:BJ143 R145:AD145 C145:P147 AY145:BJ147</xm:sqref>
        </x14:conditionalFormatting>
        <x14:conditionalFormatting xmlns:xm="http://schemas.microsoft.com/office/excel/2006/main">
          <x14:cfRule type="expression" priority="39" id="{ECD9E552-430B-462C-9C4F-1505CEA97F11}">
            <xm:f>CALCULOS!$D$87</xm:f>
            <x14:dxf>
              <font>
                <color theme="1"/>
              </font>
              <fill>
                <patternFill>
                  <bgColor theme="8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AK145:AR145 AK147:AR147 C143:Z143 AF143:AQ143 AU143:BJ143 R145:AD145 C145:P147 AY145:BJ147 C149:BJ149 C150:X153 AF150:AO153 AW150:BB153 R147:AD147</xm:sqref>
        </x14:conditionalFormatting>
        <x14:conditionalFormatting xmlns:xm="http://schemas.microsoft.com/office/excel/2006/main">
          <x14:cfRule type="expression" priority="33" id="{00F1D7B1-B65C-408D-968A-9A2303FE8621}">
            <xm:f>CALCULOS!$D$88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AK145:AR145 AT145:AW145 R147:AD147 AF147:AI147 AK147:AR147 AT147:AW147</xm:sqref>
        </x14:conditionalFormatting>
        <x14:conditionalFormatting xmlns:xm="http://schemas.microsoft.com/office/excel/2006/main">
          <x14:cfRule type="expression" priority="37" id="{6D9C7D62-2A8A-4E29-A8E1-57215F5722E0}">
            <xm:f>CALCULOS!$D$89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AK145:AR145 AT145:AW145 AK147:AR147 AT147:AW147</xm:sqref>
        </x14:conditionalFormatting>
        <x14:conditionalFormatting xmlns:xm="http://schemas.microsoft.com/office/excel/2006/main">
          <x14:cfRule type="expression" priority="31" id="{3114406C-7D00-4BC6-B073-567B4DF8F04E}">
            <xm:f>CALCULOS!$D$81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BB136:BJ136</xm:sqref>
        </x14:conditionalFormatting>
        <x14:conditionalFormatting xmlns:xm="http://schemas.microsoft.com/office/excel/2006/main">
          <x14:cfRule type="expression" priority="5" id="{E4C44028-219C-471C-BB48-9E5134A86D5D}">
            <xm:f>CALCULOS!$D$80=0</xm:f>
            <x14:dxf>
              <font>
                <color theme="1"/>
              </font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BK85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787" yWindow="462" count="11">
        <x14:dataValidation type="list" allowBlank="1" showErrorMessage="1" xr:uid="{00000000-0002-0000-0000-000003000000}">
          <x14:formula1>
            <xm:f>Listas!$D$2:$D$42</xm:f>
          </x14:formula1>
          <xm:sqref>U58</xm:sqref>
        </x14:dataValidation>
        <x14:dataValidation type="list" allowBlank="1" showErrorMessage="1" xr:uid="{00000000-0002-0000-0000-000009000000}">
          <x14:formula1>
            <xm:f>Listas!$F$2:$F$9</xm:f>
          </x14:formula1>
          <xm:sqref>AP145 AP142:AP143 AP147 AP155:AP156 AP149</xm:sqref>
        </x14:dataValidation>
        <x14:dataValidation type="list" allowBlank="1" showErrorMessage="1" xr:uid="{919C652F-BBF4-402B-8886-BA9D22442BB6}">
          <x14:formula1>
            <xm:f>Listas!$AL$3:$AL$9</xm:f>
          </x14:formula1>
          <xm:sqref>BH154:BJ154 BB163:BJ163 BH157:BJ157 BB159:BJ159 BB136:BJ137 BB142:BB157 BC142:BJ149 BC154:BG157</xm:sqref>
        </x14:dataValidation>
        <x14:dataValidation type="list" allowBlank="1" showInputMessage="1" showErrorMessage="1" xr:uid="{DB096677-BEFF-4779-AA3C-8B478AB388BF}">
          <x14:formula1>
            <xm:f>Listas!$AQ$3:$AQ$9</xm:f>
          </x14:formula1>
          <xm:sqref>AN170:AP170</xm:sqref>
        </x14:dataValidation>
        <x14:dataValidation type="list" allowBlank="1" showInputMessage="1" showErrorMessage="1" xr:uid="{EC12E97B-D52B-4875-BFD0-38C15375F87A}">
          <x14:formula1>
            <xm:f>Listas!$AN$3:$AN$9</xm:f>
          </x14:formula1>
          <xm:sqref>BB131</xm:sqref>
        </x14:dataValidation>
        <x14:dataValidation type="list" allowBlank="1" showInputMessage="1" showErrorMessage="1" xr:uid="{0D2494F6-514C-43D8-BCC8-8C417063DB7F}">
          <x14:formula1>
            <xm:f>Listas!$F$2:$F$9</xm:f>
          </x14:formula1>
          <xm:sqref>AP136:AX137</xm:sqref>
        </x14:dataValidation>
        <x14:dataValidation type="list" allowBlank="1" showInputMessage="1" showErrorMessage="1" prompt="Escolher a forma de recebimento da fatura" xr:uid="{23838481-C52C-45C4-AAAC-A10723DBF230}">
          <x14:formula1>
            <xm:f>Listas!$AX$3:$AX$5</xm:f>
          </x14:formula1>
          <xm:sqref>S47:AC47</xm:sqref>
        </x14:dataValidation>
        <x14:dataValidation type="list" allowBlank="1" showInputMessage="1" showErrorMessage="1" xr:uid="{B60B3AB6-8005-426A-B7B4-89A4F6624ADC}">
          <x14:formula1>
            <xm:f>CALCULOS!$C$130:$C$135</xm:f>
          </x14:formula1>
          <xm:sqref>BC167:BE167</xm:sqref>
        </x14:dataValidation>
        <x14:dataValidation type="list" allowBlank="1" showInputMessage="1" showErrorMessage="1" xr:uid="{57036536-2D2D-40FC-9C8D-04CF91DE0CC1}">
          <x14:formula1>
            <xm:f>Listas!$BA$3:$BA$9</xm:f>
          </x14:formula1>
          <xm:sqref>AU105:AX116 BD120:BJ129</xm:sqref>
        </x14:dataValidation>
        <x14:dataValidation type="list" allowBlank="1" showInputMessage="1" showErrorMessage="1" xr:uid="{D87742F8-E1CC-409B-98C4-EE49BC08D34C}">
          <x14:formula1>
            <xm:f>Listas!$BC$2:$BC$4</xm:f>
          </x14:formula1>
          <xm:sqref>L120:Q120</xm:sqref>
        </x14:dataValidation>
        <x14:dataValidation type="list" allowBlank="1" showErrorMessage="1" xr:uid="{8DB42446-299F-43B5-84D9-A045BDAE60AC}">
          <x14:formula1>
            <xm:f>Listas!$AH$3:$AH$13</xm:f>
          </x14:formula1>
          <xm:sqref>AD34:AN34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6B3DF-1621-49E8-A1B4-695CDF66D949}">
  <sheetPr codeName="Planilha10"/>
  <dimension ref="A1:X83"/>
  <sheetViews>
    <sheetView showGridLines="0" zoomScaleNormal="100" workbookViewId="0">
      <selection activeCell="C14" sqref="C14"/>
    </sheetView>
  </sheetViews>
  <sheetFormatPr defaultColWidth="0" defaultRowHeight="14.4" x14ac:dyDescent="0.3"/>
  <cols>
    <col min="1" max="1" width="3.6640625" customWidth="1"/>
    <col min="2" max="2" width="4.6640625" customWidth="1"/>
    <col min="3" max="3" width="9.44140625" customWidth="1"/>
    <col min="4" max="4" width="10.6640625" customWidth="1"/>
    <col min="5" max="5" width="7.109375" customWidth="1"/>
    <col min="6" max="6" width="5" customWidth="1"/>
    <col min="7" max="10" width="10.6640625" customWidth="1"/>
    <col min="11" max="11" width="2.5546875" customWidth="1"/>
    <col min="12" max="12" width="2.88671875" customWidth="1"/>
    <col min="13" max="24" width="0" hidden="1" customWidth="1"/>
    <col min="25" max="16384" width="9.109375" hidden="1"/>
  </cols>
  <sheetData>
    <row r="1" spans="1:11" ht="17.399999999999999" x14ac:dyDescent="0.3">
      <c r="B1" s="1123" t="s">
        <v>979</v>
      </c>
      <c r="C1" s="1123"/>
      <c r="D1" s="1123"/>
      <c r="E1" s="1123"/>
      <c r="F1" s="1123"/>
      <c r="G1" s="1123"/>
      <c r="H1" s="1123"/>
      <c r="I1" s="1123"/>
      <c r="J1" s="1123"/>
    </row>
    <row r="2" spans="1:11" x14ac:dyDescent="0.3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</row>
    <row r="3" spans="1:11" ht="17.399999999999999" x14ac:dyDescent="0.3">
      <c r="A3" s="226"/>
      <c r="B3" s="1124" t="s">
        <v>980</v>
      </c>
      <c r="C3" s="1125"/>
      <c r="D3" s="1125"/>
      <c r="E3" s="1125"/>
      <c r="F3" s="1125"/>
      <c r="G3" s="1125"/>
      <c r="H3" s="1125"/>
      <c r="I3" s="1125"/>
      <c r="J3" s="1126"/>
      <c r="K3" s="226"/>
    </row>
    <row r="4" spans="1:11" ht="17.399999999999999" x14ac:dyDescent="0.3">
      <c r="A4" s="226"/>
      <c r="B4" s="227"/>
      <c r="C4" s="228"/>
      <c r="D4" s="228"/>
      <c r="E4" s="228"/>
      <c r="F4" s="228"/>
      <c r="G4" s="228"/>
      <c r="H4" s="228"/>
      <c r="I4" s="228"/>
      <c r="J4" s="229"/>
      <c r="K4" s="226"/>
    </row>
    <row r="5" spans="1:11" ht="17.399999999999999" x14ac:dyDescent="0.3">
      <c r="A5" s="226"/>
      <c r="B5" s="1121" t="s">
        <v>981</v>
      </c>
      <c r="C5" s="1122"/>
      <c r="D5" s="1122"/>
      <c r="E5" s="228"/>
      <c r="F5" s="228"/>
      <c r="G5" s="228"/>
      <c r="H5" s="228"/>
      <c r="I5" s="228"/>
      <c r="J5" s="229"/>
      <c r="K5" s="226"/>
    </row>
    <row r="6" spans="1:11" ht="17.399999999999999" x14ac:dyDescent="0.3">
      <c r="A6" s="226"/>
      <c r="B6" s="230"/>
      <c r="C6" s="231"/>
      <c r="D6" s="231"/>
      <c r="E6" s="228"/>
      <c r="F6" s="228"/>
      <c r="G6" s="228"/>
      <c r="H6" s="228"/>
      <c r="I6" s="228"/>
      <c r="J6" s="229"/>
      <c r="K6" s="226"/>
    </row>
    <row r="7" spans="1:11" ht="17.399999999999999" x14ac:dyDescent="0.3">
      <c r="A7" s="226"/>
      <c r="B7" s="232" t="s">
        <v>982</v>
      </c>
      <c r="C7" s="233"/>
      <c r="D7" s="252"/>
      <c r="E7" s="234" t="s">
        <v>983</v>
      </c>
      <c r="F7" s="1127"/>
      <c r="G7" s="1127"/>
      <c r="H7" s="1127"/>
      <c r="I7" s="1127"/>
      <c r="J7" s="228"/>
      <c r="K7" s="235"/>
    </row>
    <row r="8" spans="1:11" x14ac:dyDescent="0.3">
      <c r="A8" s="226"/>
      <c r="B8" s="236"/>
      <c r="C8" s="237"/>
      <c r="D8" s="237"/>
      <c r="E8" s="237"/>
      <c r="F8" s="237"/>
      <c r="G8" s="237"/>
      <c r="H8" s="237"/>
      <c r="I8" s="237"/>
      <c r="J8" s="238"/>
      <c r="K8" s="226"/>
    </row>
    <row r="9" spans="1:11" x14ac:dyDescent="0.3">
      <c r="A9" s="226"/>
      <c r="B9" s="239"/>
      <c r="C9" s="226"/>
      <c r="D9" s="226"/>
      <c r="E9" s="226"/>
      <c r="F9" s="226"/>
      <c r="G9" s="226"/>
      <c r="H9" s="226"/>
      <c r="I9" s="226"/>
      <c r="J9" s="240"/>
      <c r="K9" s="226"/>
    </row>
    <row r="10" spans="1:11" x14ac:dyDescent="0.3">
      <c r="A10" s="226"/>
      <c r="B10" s="1128" t="s">
        <v>984</v>
      </c>
      <c r="C10" s="1129"/>
      <c r="D10" s="1129"/>
      <c r="E10" s="226"/>
      <c r="F10" s="226"/>
      <c r="G10" s="226"/>
      <c r="H10" s="226"/>
      <c r="I10" s="226"/>
      <c r="J10" s="240"/>
      <c r="K10" s="226"/>
    </row>
    <row r="11" spans="1:11" x14ac:dyDescent="0.3">
      <c r="A11" s="226"/>
      <c r="B11" s="239"/>
      <c r="C11" s="226"/>
      <c r="D11" s="226"/>
      <c r="E11" s="226"/>
      <c r="F11" s="226"/>
      <c r="G11" s="226"/>
      <c r="H11" s="226"/>
      <c r="I11" s="226"/>
      <c r="J11" s="240"/>
      <c r="K11" s="226"/>
    </row>
    <row r="12" spans="1:11" x14ac:dyDescent="0.3">
      <c r="A12" s="226"/>
      <c r="B12" s="239"/>
      <c r="C12" s="226"/>
      <c r="D12" s="226"/>
      <c r="E12" s="226"/>
      <c r="F12" s="226"/>
      <c r="G12" s="226"/>
      <c r="H12" s="226"/>
      <c r="I12" s="226"/>
      <c r="J12" s="240"/>
      <c r="K12" s="226"/>
    </row>
    <row r="13" spans="1:11" x14ac:dyDescent="0.3">
      <c r="A13" s="226"/>
      <c r="B13" s="239"/>
      <c r="C13" s="226"/>
      <c r="D13" s="226"/>
      <c r="E13" s="226"/>
      <c r="F13" s="226"/>
      <c r="G13" s="226"/>
      <c r="H13" s="226"/>
      <c r="I13" s="226"/>
      <c r="J13" s="240"/>
      <c r="K13" s="226"/>
    </row>
    <row r="14" spans="1:11" x14ac:dyDescent="0.3">
      <c r="A14" s="226"/>
      <c r="B14" s="236"/>
      <c r="C14" s="237"/>
      <c r="D14" s="237"/>
      <c r="E14" s="237"/>
      <c r="F14" s="237"/>
      <c r="G14" s="237"/>
      <c r="H14" s="237"/>
      <c r="I14" s="237"/>
      <c r="J14" s="238"/>
      <c r="K14" s="226"/>
    </row>
    <row r="15" spans="1:11" x14ac:dyDescent="0.3">
      <c r="A15" s="226"/>
      <c r="B15" s="239"/>
      <c r="C15" s="226"/>
      <c r="D15" s="226"/>
      <c r="E15" s="226"/>
      <c r="F15" s="226"/>
      <c r="G15" s="226"/>
      <c r="H15" s="226"/>
      <c r="I15" s="226"/>
      <c r="J15" s="240"/>
      <c r="K15" s="226"/>
    </row>
    <row r="16" spans="1:11" x14ac:dyDescent="0.3">
      <c r="A16" s="226"/>
      <c r="B16" s="1121" t="s">
        <v>985</v>
      </c>
      <c r="C16" s="1122"/>
      <c r="D16" s="1122"/>
      <c r="E16" s="226"/>
      <c r="F16" s="226"/>
      <c r="G16" s="226"/>
      <c r="H16" s="226"/>
      <c r="I16" s="226"/>
      <c r="J16" s="240"/>
      <c r="K16" s="226"/>
    </row>
    <row r="17" spans="1:11" x14ac:dyDescent="0.3">
      <c r="A17" s="226"/>
      <c r="B17" s="239"/>
      <c r="C17" s="226"/>
      <c r="D17" s="226"/>
      <c r="E17" s="226"/>
      <c r="F17" s="226"/>
      <c r="G17" s="226"/>
      <c r="H17" s="226"/>
      <c r="I17" s="226"/>
      <c r="J17" s="240"/>
      <c r="K17" s="226"/>
    </row>
    <row r="18" spans="1:11" x14ac:dyDescent="0.3">
      <c r="A18" s="226"/>
      <c r="B18" s="236"/>
      <c r="C18" s="237"/>
      <c r="D18" s="237"/>
      <c r="E18" s="237"/>
      <c r="F18" s="237"/>
      <c r="G18" s="237"/>
      <c r="H18" s="237"/>
      <c r="I18" s="237"/>
      <c r="J18" s="238"/>
      <c r="K18" s="226"/>
    </row>
    <row r="19" spans="1:11" x14ac:dyDescent="0.3">
      <c r="A19" s="226"/>
      <c r="B19" s="239"/>
      <c r="C19" s="226"/>
      <c r="D19" s="226"/>
      <c r="E19" s="226"/>
      <c r="F19" s="226"/>
      <c r="G19" s="226"/>
      <c r="H19" s="226"/>
      <c r="I19" s="226"/>
      <c r="J19" s="240"/>
      <c r="K19" s="226"/>
    </row>
    <row r="20" spans="1:11" x14ac:dyDescent="0.3">
      <c r="A20" s="226"/>
      <c r="B20" s="1130" t="s">
        <v>986</v>
      </c>
      <c r="C20" s="1131"/>
      <c r="D20" s="1131"/>
      <c r="E20" s="241"/>
      <c r="F20" s="226" t="s">
        <v>987</v>
      </c>
      <c r="G20" s="226"/>
      <c r="H20" s="226"/>
      <c r="I20" s="226"/>
      <c r="J20" s="240"/>
      <c r="K20" s="226"/>
    </row>
    <row r="21" spans="1:11" x14ac:dyDescent="0.3">
      <c r="A21" s="226"/>
      <c r="B21" s="1130" t="s">
        <v>988</v>
      </c>
      <c r="C21" s="1131"/>
      <c r="D21" s="1131"/>
      <c r="E21" s="242"/>
      <c r="F21" s="226" t="s">
        <v>194</v>
      </c>
      <c r="G21" s="226"/>
      <c r="H21" s="226"/>
      <c r="I21" s="226"/>
      <c r="J21" s="240"/>
      <c r="K21" s="226"/>
    </row>
    <row r="22" spans="1:11" x14ac:dyDescent="0.3">
      <c r="A22" s="226"/>
      <c r="B22" s="1130" t="s">
        <v>989</v>
      </c>
      <c r="C22" s="1131"/>
      <c r="D22" s="1131"/>
      <c r="E22" s="1131"/>
      <c r="F22" s="1131"/>
      <c r="G22" s="243"/>
      <c r="H22" s="234" t="s">
        <v>181</v>
      </c>
      <c r="I22" s="226"/>
      <c r="J22" s="240"/>
      <c r="K22" s="226"/>
    </row>
    <row r="23" spans="1:11" x14ac:dyDescent="0.3">
      <c r="A23" s="226"/>
      <c r="B23" s="1130" t="s">
        <v>990</v>
      </c>
      <c r="C23" s="1131"/>
      <c r="D23" s="1131"/>
      <c r="E23" s="241"/>
      <c r="F23" s="226" t="s">
        <v>181</v>
      </c>
      <c r="G23" s="226"/>
      <c r="H23" s="226"/>
      <c r="I23" s="226"/>
      <c r="J23" s="240"/>
      <c r="K23" s="226"/>
    </row>
    <row r="24" spans="1:11" x14ac:dyDescent="0.3">
      <c r="A24" s="226"/>
      <c r="B24" s="1132" t="s">
        <v>991</v>
      </c>
      <c r="C24" s="1131"/>
      <c r="D24" s="1131"/>
      <c r="E24" s="1133"/>
      <c r="F24" s="1134"/>
      <c r="G24" s="226"/>
      <c r="H24" s="226"/>
      <c r="I24" s="226"/>
      <c r="J24" s="240"/>
      <c r="K24" s="226"/>
    </row>
    <row r="25" spans="1:11" x14ac:dyDescent="0.3">
      <c r="A25" s="226"/>
      <c r="B25" s="1130" t="s">
        <v>992</v>
      </c>
      <c r="C25" s="1131"/>
      <c r="D25" s="1131"/>
      <c r="E25" s="243"/>
      <c r="F25" s="244"/>
      <c r="G25" s="226"/>
      <c r="H25" s="226"/>
      <c r="I25" s="226"/>
      <c r="J25" s="240"/>
      <c r="K25" s="226"/>
    </row>
    <row r="26" spans="1:11" x14ac:dyDescent="0.3">
      <c r="A26" s="226"/>
      <c r="B26" s="1130" t="s">
        <v>993</v>
      </c>
      <c r="C26" s="1131"/>
      <c r="D26" s="1131"/>
      <c r="E26" s="243"/>
      <c r="F26" s="226"/>
      <c r="G26" s="226"/>
      <c r="H26" s="226"/>
      <c r="I26" s="226"/>
      <c r="J26" s="240"/>
      <c r="K26" s="226"/>
    </row>
    <row r="27" spans="1:11" x14ac:dyDescent="0.3">
      <c r="A27" s="226"/>
      <c r="B27" s="236"/>
      <c r="C27" s="237"/>
      <c r="D27" s="237"/>
      <c r="E27" s="237"/>
      <c r="F27" s="237"/>
      <c r="G27" s="237"/>
      <c r="H27" s="237"/>
      <c r="I27" s="237"/>
      <c r="J27" s="238"/>
      <c r="K27" s="226"/>
    </row>
    <row r="28" spans="1:11" x14ac:dyDescent="0.3">
      <c r="A28" s="226"/>
      <c r="B28" s="239"/>
      <c r="C28" s="226"/>
      <c r="D28" s="226"/>
      <c r="E28" s="226"/>
      <c r="F28" s="226"/>
      <c r="G28" s="226"/>
      <c r="H28" s="226"/>
      <c r="I28" s="226"/>
      <c r="J28" s="240"/>
      <c r="K28" s="226"/>
    </row>
    <row r="29" spans="1:11" x14ac:dyDescent="0.3">
      <c r="A29" s="226"/>
      <c r="B29" s="1121" t="s">
        <v>994</v>
      </c>
      <c r="C29" s="1122"/>
      <c r="D29" s="1122"/>
      <c r="E29" s="226"/>
      <c r="F29" s="226"/>
      <c r="G29" s="226"/>
      <c r="H29" s="226"/>
      <c r="I29" s="226"/>
      <c r="J29" s="240"/>
      <c r="K29" s="226"/>
    </row>
    <row r="30" spans="1:11" x14ac:dyDescent="0.3">
      <c r="A30" s="226"/>
      <c r="B30" s="230"/>
      <c r="C30" s="231" t="s">
        <v>995</v>
      </c>
      <c r="D30" s="245" t="s">
        <v>996</v>
      </c>
      <c r="E30" s="226"/>
      <c r="F30" s="226"/>
      <c r="G30" s="226"/>
      <c r="H30" s="226"/>
      <c r="I30" s="226"/>
      <c r="J30" s="240"/>
      <c r="K30" s="226"/>
    </row>
    <row r="31" spans="1:11" x14ac:dyDescent="0.3">
      <c r="A31" s="226"/>
      <c r="B31" s="239"/>
      <c r="C31" s="226"/>
      <c r="D31" s="243"/>
      <c r="E31" s="226"/>
      <c r="F31" s="226"/>
      <c r="G31" s="226"/>
      <c r="H31" s="226"/>
      <c r="I31" s="226"/>
      <c r="J31" s="240"/>
      <c r="K31" s="226"/>
    </row>
    <row r="32" spans="1:11" x14ac:dyDescent="0.3">
      <c r="A32" s="226"/>
      <c r="B32" s="239"/>
      <c r="C32" s="226"/>
      <c r="D32" s="244"/>
      <c r="E32" s="226"/>
      <c r="F32" s="226"/>
      <c r="G32" s="226"/>
      <c r="H32" s="226"/>
      <c r="I32" s="226"/>
      <c r="J32" s="240"/>
      <c r="K32" s="226"/>
    </row>
    <row r="33" spans="1:11" x14ac:dyDescent="0.3">
      <c r="A33" s="226"/>
      <c r="B33" s="239"/>
      <c r="C33" s="226"/>
      <c r="D33" s="243"/>
      <c r="E33" s="226"/>
      <c r="F33" s="226"/>
      <c r="G33" s="226"/>
      <c r="H33" s="226"/>
      <c r="I33" s="226"/>
      <c r="J33" s="240"/>
      <c r="K33" s="226"/>
    </row>
    <row r="34" spans="1:11" x14ac:dyDescent="0.3">
      <c r="A34" s="226"/>
      <c r="B34" s="239"/>
      <c r="C34" s="226"/>
      <c r="D34" s="226"/>
      <c r="E34" s="226"/>
      <c r="F34" s="226"/>
      <c r="G34" s="226"/>
      <c r="H34" s="226"/>
      <c r="I34" s="226"/>
      <c r="J34" s="240"/>
      <c r="K34" s="226"/>
    </row>
    <row r="35" spans="1:11" x14ac:dyDescent="0.3">
      <c r="A35" s="226"/>
      <c r="B35" s="239"/>
      <c r="C35" s="226"/>
      <c r="D35" s="226" t="s">
        <v>997</v>
      </c>
      <c r="E35" s="1133"/>
      <c r="F35" s="1133"/>
      <c r="G35" s="1133"/>
      <c r="H35" s="1133"/>
      <c r="I35" s="1133"/>
      <c r="J35" s="240"/>
      <c r="K35" s="226"/>
    </row>
    <row r="36" spans="1:11" x14ac:dyDescent="0.3">
      <c r="A36" s="226"/>
      <c r="B36" s="236"/>
      <c r="C36" s="237"/>
      <c r="D36" s="237"/>
      <c r="E36" s="237"/>
      <c r="F36" s="237"/>
      <c r="G36" s="237"/>
      <c r="H36" s="237"/>
      <c r="I36" s="237"/>
      <c r="J36" s="238"/>
      <c r="K36" s="226"/>
    </row>
    <row r="37" spans="1:11" x14ac:dyDescent="0.3">
      <c r="A37" s="226"/>
      <c r="B37" s="239"/>
      <c r="C37" s="226"/>
      <c r="D37" s="226"/>
      <c r="E37" s="226"/>
      <c r="F37" s="226"/>
      <c r="G37" s="226"/>
      <c r="H37" s="226"/>
      <c r="I37" s="226"/>
      <c r="J37" s="240"/>
      <c r="K37" s="226"/>
    </row>
    <row r="38" spans="1:11" x14ac:dyDescent="0.3">
      <c r="A38" s="226"/>
      <c r="B38" s="1121" t="s">
        <v>998</v>
      </c>
      <c r="C38" s="1122"/>
      <c r="D38" s="1122"/>
      <c r="E38" s="1122"/>
      <c r="F38" s="1122"/>
      <c r="G38" s="1122"/>
      <c r="H38" s="1122"/>
      <c r="I38" s="226"/>
      <c r="J38" s="240"/>
      <c r="K38" s="226"/>
    </row>
    <row r="39" spans="1:11" x14ac:dyDescent="0.3">
      <c r="A39" s="226"/>
      <c r="B39" s="239"/>
      <c r="C39" s="226"/>
      <c r="D39" s="226"/>
      <c r="E39" s="226"/>
      <c r="F39" s="226"/>
      <c r="G39" s="226"/>
      <c r="H39" s="226"/>
      <c r="I39" s="226"/>
      <c r="J39" s="240"/>
      <c r="K39" s="226"/>
    </row>
    <row r="40" spans="1:11" x14ac:dyDescent="0.3">
      <c r="A40" s="226"/>
      <c r="B40" s="239"/>
      <c r="C40" s="226"/>
      <c r="D40" s="226"/>
      <c r="E40" s="226"/>
      <c r="F40" s="226"/>
      <c r="G40" s="226"/>
      <c r="H40" s="226"/>
      <c r="I40" s="226"/>
      <c r="J40" s="240"/>
      <c r="K40" s="226"/>
    </row>
    <row r="41" spans="1:11" x14ac:dyDescent="0.3">
      <c r="A41" s="226"/>
      <c r="B41" s="239"/>
      <c r="C41" s="226"/>
      <c r="D41" s="226"/>
      <c r="E41" s="226"/>
      <c r="F41" s="226"/>
      <c r="G41" s="226"/>
      <c r="H41" s="226"/>
      <c r="I41" s="226"/>
      <c r="J41" s="240"/>
      <c r="K41" s="226"/>
    </row>
    <row r="42" spans="1:11" x14ac:dyDescent="0.3">
      <c r="A42" s="226"/>
      <c r="B42" s="239"/>
      <c r="C42" s="226"/>
      <c r="D42" s="226"/>
      <c r="E42" s="1135"/>
      <c r="F42" s="1135"/>
      <c r="G42" s="226" t="s">
        <v>999</v>
      </c>
      <c r="H42" s="226"/>
      <c r="I42" s="226"/>
      <c r="J42" s="240"/>
      <c r="K42" s="226"/>
    </row>
    <row r="43" spans="1:11" x14ac:dyDescent="0.3">
      <c r="A43" s="226"/>
      <c r="B43" s="239"/>
      <c r="C43" s="226"/>
      <c r="D43" s="226"/>
      <c r="E43" s="226"/>
      <c r="F43" s="241"/>
      <c r="G43" s="226" t="s">
        <v>999</v>
      </c>
      <c r="H43" s="226"/>
      <c r="I43" s="226"/>
      <c r="J43" s="240"/>
      <c r="K43" s="226"/>
    </row>
    <row r="44" spans="1:11" x14ac:dyDescent="0.3">
      <c r="A44" s="226"/>
      <c r="B44" s="239"/>
      <c r="C44" s="226"/>
      <c r="D44" s="226"/>
      <c r="E44" s="226"/>
      <c r="F44" s="226"/>
      <c r="G44" s="226"/>
      <c r="H44" s="226"/>
      <c r="I44" s="226"/>
      <c r="J44" s="240"/>
      <c r="K44" s="226"/>
    </row>
    <row r="45" spans="1:11" x14ac:dyDescent="0.3">
      <c r="A45" s="226"/>
      <c r="B45" s="239"/>
      <c r="C45" s="226"/>
      <c r="D45" s="226"/>
      <c r="E45" s="226"/>
      <c r="F45" s="226"/>
      <c r="G45" s="1136"/>
      <c r="H45" s="1136"/>
      <c r="I45" s="1136"/>
      <c r="J45" s="246" t="s">
        <v>181</v>
      </c>
      <c r="K45" s="226"/>
    </row>
    <row r="46" spans="1:11" x14ac:dyDescent="0.3">
      <c r="A46" s="226"/>
      <c r="B46" s="239"/>
      <c r="C46" s="226"/>
      <c r="D46" s="226"/>
      <c r="E46" s="226"/>
      <c r="F46" s="226"/>
      <c r="G46" s="226"/>
      <c r="H46" s="1137"/>
      <c r="I46" s="1137"/>
      <c r="J46" s="246" t="s">
        <v>181</v>
      </c>
      <c r="K46" s="226"/>
    </row>
    <row r="47" spans="1:11" x14ac:dyDescent="0.3">
      <c r="A47" s="226"/>
      <c r="B47" s="239"/>
      <c r="C47" s="226"/>
      <c r="D47" s="1133"/>
      <c r="E47" s="1133"/>
      <c r="F47" s="1133"/>
      <c r="G47" s="1133"/>
      <c r="H47" s="247"/>
      <c r="I47" s="247"/>
      <c r="J47" s="246"/>
      <c r="K47" s="226"/>
    </row>
    <row r="48" spans="1:11" x14ac:dyDescent="0.3">
      <c r="A48" s="226"/>
      <c r="B48" s="236"/>
      <c r="C48" s="237"/>
      <c r="D48" s="237"/>
      <c r="E48" s="237"/>
      <c r="F48" s="237"/>
      <c r="G48" s="237"/>
      <c r="H48" s="237"/>
      <c r="I48" s="237"/>
      <c r="J48" s="238"/>
      <c r="K48" s="226"/>
    </row>
    <row r="49" spans="1:11" x14ac:dyDescent="0.3">
      <c r="A49" s="226"/>
      <c r="B49" s="239"/>
      <c r="C49" s="226"/>
      <c r="D49" s="226"/>
      <c r="E49" s="226"/>
      <c r="F49" s="226"/>
      <c r="G49" s="226"/>
      <c r="H49" s="226"/>
      <c r="I49" s="226"/>
      <c r="J49" s="240"/>
      <c r="K49" s="226"/>
    </row>
    <row r="50" spans="1:11" x14ac:dyDescent="0.3">
      <c r="A50" s="226"/>
      <c r="B50" s="230" t="s">
        <v>1000</v>
      </c>
      <c r="C50" s="231"/>
      <c r="D50" s="231"/>
      <c r="E50" s="231"/>
      <c r="F50" s="231"/>
      <c r="G50" s="231"/>
      <c r="H50" s="231"/>
      <c r="I50" s="231"/>
      <c r="J50" s="248"/>
      <c r="K50" s="226"/>
    </row>
    <row r="51" spans="1:11" x14ac:dyDescent="0.3">
      <c r="A51" s="226"/>
      <c r="B51" s="239"/>
      <c r="C51" s="1133"/>
      <c r="D51" s="1133"/>
      <c r="E51" s="1133"/>
      <c r="F51" s="1133"/>
      <c r="G51" s="1133"/>
      <c r="H51" s="1133"/>
      <c r="I51" s="1133"/>
      <c r="J51" s="249"/>
      <c r="K51" s="226"/>
    </row>
    <row r="52" spans="1:11" x14ac:dyDescent="0.3">
      <c r="A52" s="226"/>
      <c r="B52" s="236"/>
      <c r="C52" s="237"/>
      <c r="D52" s="237"/>
      <c r="E52" s="237"/>
      <c r="F52" s="237"/>
      <c r="G52" s="237"/>
      <c r="H52" s="237"/>
      <c r="I52" s="237"/>
      <c r="J52" s="238"/>
      <c r="K52" s="226"/>
    </row>
    <row r="53" spans="1:11" x14ac:dyDescent="0.3">
      <c r="A53" s="226"/>
      <c r="B53" s="239"/>
      <c r="C53" s="226"/>
      <c r="D53" s="226"/>
      <c r="E53" s="226"/>
      <c r="F53" s="226"/>
      <c r="G53" s="226"/>
      <c r="H53" s="226"/>
      <c r="I53" s="226"/>
      <c r="J53" s="240"/>
      <c r="K53" s="226"/>
    </row>
    <row r="54" spans="1:11" x14ac:dyDescent="0.3">
      <c r="A54" s="226"/>
      <c r="B54" s="230" t="s">
        <v>1001</v>
      </c>
      <c r="C54" s="250"/>
      <c r="D54" s="250"/>
      <c r="E54" s="250"/>
      <c r="F54" s="250"/>
      <c r="G54" s="250"/>
      <c r="H54" s="250"/>
      <c r="I54" s="250"/>
      <c r="J54" s="240"/>
      <c r="K54" s="226"/>
    </row>
    <row r="55" spans="1:11" x14ac:dyDescent="0.3">
      <c r="A55" s="226"/>
      <c r="B55" s="239"/>
      <c r="C55" s="226" t="s">
        <v>1002</v>
      </c>
      <c r="D55" s="243"/>
      <c r="E55" s="226" t="s">
        <v>850</v>
      </c>
      <c r="F55" s="244"/>
      <c r="G55" s="226" t="s">
        <v>1003</v>
      </c>
      <c r="H55" s="226"/>
      <c r="I55" s="241"/>
      <c r="J55" s="240"/>
      <c r="K55" s="226"/>
    </row>
    <row r="56" spans="1:11" x14ac:dyDescent="0.3">
      <c r="A56" s="226"/>
      <c r="B56" s="236"/>
      <c r="C56" s="237"/>
      <c r="D56" s="237"/>
      <c r="E56" s="237"/>
      <c r="F56" s="237"/>
      <c r="G56" s="237"/>
      <c r="H56" s="237"/>
      <c r="I56" s="237"/>
      <c r="J56" s="238"/>
      <c r="K56" s="226"/>
    </row>
    <row r="57" spans="1:11" x14ac:dyDescent="0.3">
      <c r="A57" s="226"/>
      <c r="B57" s="239"/>
      <c r="C57" s="226"/>
      <c r="D57" s="226"/>
      <c r="E57" s="226"/>
      <c r="F57" s="226"/>
      <c r="G57" s="226"/>
      <c r="H57" s="226"/>
      <c r="I57" s="226"/>
      <c r="J57" s="240"/>
      <c r="K57" s="226"/>
    </row>
    <row r="58" spans="1:11" x14ac:dyDescent="0.3">
      <c r="A58" s="226"/>
      <c r="B58" s="1121" t="s">
        <v>1004</v>
      </c>
      <c r="C58" s="1122"/>
      <c r="D58" s="1122"/>
      <c r="E58" s="1122"/>
      <c r="F58" s="1122"/>
      <c r="G58" s="1122"/>
      <c r="H58" s="226"/>
      <c r="I58" s="226"/>
      <c r="J58" s="240"/>
      <c r="K58" s="226"/>
    </row>
    <row r="59" spans="1:11" x14ac:dyDescent="0.3">
      <c r="A59" s="226"/>
      <c r="B59" s="239"/>
      <c r="C59" s="226" t="s">
        <v>1005</v>
      </c>
      <c r="D59" s="1133"/>
      <c r="E59" s="1133"/>
      <c r="F59" s="1133"/>
      <c r="G59" s="226"/>
      <c r="H59" s="226"/>
      <c r="I59" s="226"/>
      <c r="J59" s="240"/>
      <c r="K59" s="226"/>
    </row>
    <row r="60" spans="1:11" x14ac:dyDescent="0.3">
      <c r="A60" s="226"/>
      <c r="B60" s="239"/>
      <c r="C60" s="226" t="s">
        <v>1006</v>
      </c>
      <c r="D60" s="226"/>
      <c r="E60" s="251"/>
      <c r="F60" s="234" t="s">
        <v>999</v>
      </c>
      <c r="G60" s="226"/>
      <c r="H60" s="234"/>
      <c r="I60" s="226"/>
      <c r="J60" s="240"/>
      <c r="K60" s="226"/>
    </row>
    <row r="61" spans="1:11" x14ac:dyDescent="0.3">
      <c r="A61" s="226"/>
      <c r="B61" s="236"/>
      <c r="C61" s="237"/>
      <c r="D61" s="237"/>
      <c r="E61" s="237"/>
      <c r="F61" s="237"/>
      <c r="G61" s="237"/>
      <c r="H61" s="237"/>
      <c r="I61" s="237"/>
      <c r="J61" s="238"/>
      <c r="K61" s="226"/>
    </row>
    <row r="62" spans="1:11" x14ac:dyDescent="0.3">
      <c r="A62" s="226"/>
      <c r="B62" s="239"/>
      <c r="C62" s="226"/>
      <c r="D62" s="226"/>
      <c r="E62" s="226"/>
      <c r="F62" s="226"/>
      <c r="G62" s="226"/>
      <c r="H62" s="226"/>
      <c r="I62" s="226"/>
      <c r="J62" s="240"/>
      <c r="K62" s="226"/>
    </row>
    <row r="63" spans="1:11" x14ac:dyDescent="0.3">
      <c r="A63" s="226"/>
      <c r="B63" s="1121" t="s">
        <v>1007</v>
      </c>
      <c r="C63" s="1122"/>
      <c r="D63" s="1122"/>
      <c r="E63" s="1122"/>
      <c r="F63" s="1122"/>
      <c r="G63" s="1122"/>
      <c r="H63" s="1122"/>
      <c r="I63" s="1122"/>
      <c r="J63" s="1143"/>
      <c r="K63" s="226"/>
    </row>
    <row r="64" spans="1:11" x14ac:dyDescent="0.3">
      <c r="A64" s="226"/>
      <c r="B64" s="230"/>
      <c r="C64" s="1144"/>
      <c r="D64" s="1144"/>
      <c r="E64" s="1144"/>
      <c r="F64" s="1144"/>
      <c r="G64" s="1144"/>
      <c r="H64" s="1144"/>
      <c r="I64" s="1144"/>
      <c r="J64" s="248"/>
      <c r="K64" s="226"/>
    </row>
    <row r="65" spans="1:11" x14ac:dyDescent="0.3">
      <c r="A65" s="226"/>
      <c r="B65" s="230"/>
      <c r="C65" s="1145"/>
      <c r="D65" s="1145"/>
      <c r="E65" s="1145"/>
      <c r="F65" s="1145"/>
      <c r="G65" s="1145"/>
      <c r="H65" s="1145"/>
      <c r="I65" s="1145"/>
      <c r="J65" s="248"/>
      <c r="K65" s="226"/>
    </row>
    <row r="66" spans="1:11" x14ac:dyDescent="0.3">
      <c r="A66" s="226"/>
      <c r="B66" s="236"/>
      <c r="C66" s="237"/>
      <c r="D66" s="237"/>
      <c r="E66" s="237"/>
      <c r="F66" s="237"/>
      <c r="G66" s="237"/>
      <c r="H66" s="237"/>
      <c r="I66" s="237"/>
      <c r="J66" s="238"/>
      <c r="K66" s="226"/>
    </row>
    <row r="67" spans="1:11" x14ac:dyDescent="0.3">
      <c r="A67" s="226"/>
      <c r="B67" s="239"/>
      <c r="C67" s="226"/>
      <c r="D67" s="226"/>
      <c r="E67" s="226"/>
      <c r="F67" s="226"/>
      <c r="G67" s="226"/>
      <c r="H67" s="226"/>
      <c r="I67" s="226"/>
      <c r="J67" s="240"/>
      <c r="K67" s="226"/>
    </row>
    <row r="68" spans="1:11" x14ac:dyDescent="0.3">
      <c r="A68" s="226"/>
      <c r="B68" s="230" t="s">
        <v>1008</v>
      </c>
      <c r="C68" s="226"/>
      <c r="D68" s="226"/>
      <c r="E68" s="226"/>
      <c r="F68" s="226"/>
      <c r="G68" s="241"/>
      <c r="H68" s="226" t="s">
        <v>978</v>
      </c>
      <c r="I68" s="244"/>
      <c r="J68" s="240"/>
      <c r="K68" s="226"/>
    </row>
    <row r="69" spans="1:11" x14ac:dyDescent="0.3">
      <c r="A69" s="226"/>
      <c r="B69" s="230" t="s">
        <v>1009</v>
      </c>
      <c r="C69" s="226"/>
      <c r="D69" s="226"/>
      <c r="E69" s="226"/>
      <c r="F69" s="226"/>
      <c r="G69" s="226"/>
      <c r="H69" s="241"/>
      <c r="I69" s="226" t="s">
        <v>999</v>
      </c>
      <c r="J69" s="226"/>
      <c r="K69" s="235"/>
    </row>
    <row r="70" spans="1:11" x14ac:dyDescent="0.3">
      <c r="A70" s="226"/>
      <c r="B70" s="236"/>
      <c r="C70" s="237"/>
      <c r="D70" s="237"/>
      <c r="E70" s="237"/>
      <c r="F70" s="237"/>
      <c r="G70" s="237"/>
      <c r="H70" s="237"/>
      <c r="I70" s="237"/>
      <c r="J70" s="238"/>
      <c r="K70" s="226"/>
    </row>
    <row r="71" spans="1:11" x14ac:dyDescent="0.3">
      <c r="A71" s="226"/>
      <c r="B71" s="239"/>
      <c r="C71" s="226"/>
      <c r="D71" s="226"/>
      <c r="E71" s="226"/>
      <c r="F71" s="226"/>
      <c r="G71" s="226"/>
      <c r="H71" s="226"/>
      <c r="I71" s="226"/>
      <c r="J71" s="240"/>
      <c r="K71" s="226"/>
    </row>
    <row r="72" spans="1:11" x14ac:dyDescent="0.3">
      <c r="A72" s="226"/>
      <c r="B72" s="1146" t="s">
        <v>1010</v>
      </c>
      <c r="C72" s="1147"/>
      <c r="D72" s="1147"/>
      <c r="E72" s="1147"/>
      <c r="F72" s="1147"/>
      <c r="G72" s="1147"/>
      <c r="H72" s="1147"/>
      <c r="I72" s="1147"/>
      <c r="J72" s="1148"/>
      <c r="K72" s="226"/>
    </row>
    <row r="73" spans="1:11" ht="26.25" customHeight="1" x14ac:dyDescent="0.3">
      <c r="A73" s="226"/>
      <c r="B73" s="1140" t="s">
        <v>1011</v>
      </c>
      <c r="C73" s="1141"/>
      <c r="D73" s="1141"/>
      <c r="E73" s="1141"/>
      <c r="F73" s="1141"/>
      <c r="G73" s="1141"/>
      <c r="H73" s="1141"/>
      <c r="I73" s="1141"/>
      <c r="J73" s="1142"/>
      <c r="K73" s="226"/>
    </row>
    <row r="74" spans="1:11" ht="7.5" customHeight="1" x14ac:dyDescent="0.3">
      <c r="A74" s="226"/>
      <c r="B74" s="253"/>
      <c r="C74" s="254"/>
      <c r="D74" s="254"/>
      <c r="E74" s="254"/>
      <c r="F74" s="254"/>
      <c r="G74" s="254"/>
      <c r="H74" s="254"/>
      <c r="I74" s="254"/>
      <c r="J74" s="255"/>
      <c r="K74" s="226"/>
    </row>
    <row r="75" spans="1:11" ht="21.75" customHeight="1" x14ac:dyDescent="0.3">
      <c r="A75" s="226"/>
      <c r="B75" s="1140" t="s">
        <v>1012</v>
      </c>
      <c r="C75" s="1141"/>
      <c r="D75" s="1141"/>
      <c r="E75" s="1141"/>
      <c r="F75" s="1141"/>
      <c r="G75" s="1141"/>
      <c r="H75" s="1141"/>
      <c r="I75" s="1141"/>
      <c r="J75" s="1142"/>
      <c r="K75" s="226"/>
    </row>
    <row r="76" spans="1:11" x14ac:dyDescent="0.3">
      <c r="A76" s="226"/>
      <c r="B76" s="239"/>
      <c r="C76" s="226"/>
      <c r="D76" s="226"/>
      <c r="E76" s="226"/>
      <c r="F76" s="226"/>
      <c r="G76" s="226"/>
      <c r="H76" s="226"/>
      <c r="I76" s="226"/>
      <c r="J76" s="240"/>
      <c r="K76" s="226"/>
    </row>
    <row r="77" spans="1:11" x14ac:dyDescent="0.3">
      <c r="A77" s="226"/>
      <c r="B77" s="239"/>
      <c r="C77" s="226"/>
      <c r="D77" s="226"/>
      <c r="E77" s="226"/>
      <c r="F77" s="226"/>
      <c r="G77" s="226"/>
      <c r="H77" s="226"/>
      <c r="I77" s="226"/>
      <c r="J77" s="240"/>
      <c r="K77" s="226"/>
    </row>
    <row r="78" spans="1:11" x14ac:dyDescent="0.3">
      <c r="A78" s="226"/>
      <c r="B78" s="239"/>
      <c r="C78" s="226"/>
      <c r="D78" s="226"/>
      <c r="E78" s="226"/>
      <c r="F78" s="226"/>
      <c r="G78" s="226"/>
      <c r="H78" s="226"/>
      <c r="I78" s="226"/>
      <c r="J78" s="240"/>
      <c r="K78" s="226"/>
    </row>
    <row r="79" spans="1:11" x14ac:dyDescent="0.3">
      <c r="A79" s="226"/>
      <c r="B79" s="239" t="s">
        <v>1013</v>
      </c>
      <c r="C79" s="1133"/>
      <c r="D79" s="1133"/>
      <c r="E79" s="226"/>
      <c r="F79" s="1133"/>
      <c r="G79" s="1133"/>
      <c r="H79" s="1133"/>
      <c r="I79" s="1133"/>
      <c r="J79" s="1149"/>
      <c r="K79" s="226"/>
    </row>
    <row r="80" spans="1:11" x14ac:dyDescent="0.3">
      <c r="A80" s="226"/>
      <c r="B80" s="236"/>
      <c r="C80" s="237"/>
      <c r="D80" s="237"/>
      <c r="E80" s="237"/>
      <c r="F80" s="1138" t="s">
        <v>1014</v>
      </c>
      <c r="G80" s="1138"/>
      <c r="H80" s="1138"/>
      <c r="I80" s="1138"/>
      <c r="J80" s="1139"/>
      <c r="K80" s="226"/>
    </row>
    <row r="81" spans="1:11" x14ac:dyDescent="0.3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3" spans="1:11" x14ac:dyDescent="0.3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</sheetData>
  <mergeCells count="33">
    <mergeCell ref="F80:J80"/>
    <mergeCell ref="B73:J73"/>
    <mergeCell ref="B75:J75"/>
    <mergeCell ref="B63:J63"/>
    <mergeCell ref="C64:I64"/>
    <mergeCell ref="C65:I65"/>
    <mergeCell ref="B72:J72"/>
    <mergeCell ref="C79:D79"/>
    <mergeCell ref="F79:J79"/>
    <mergeCell ref="D59:F59"/>
    <mergeCell ref="B25:D25"/>
    <mergeCell ref="B26:D26"/>
    <mergeCell ref="B29:D29"/>
    <mergeCell ref="E35:I35"/>
    <mergeCell ref="B38:H38"/>
    <mergeCell ref="E42:F42"/>
    <mergeCell ref="G45:I45"/>
    <mergeCell ref="H46:I46"/>
    <mergeCell ref="D47:G47"/>
    <mergeCell ref="C51:I51"/>
    <mergeCell ref="B58:G58"/>
    <mergeCell ref="B20:D20"/>
    <mergeCell ref="B21:D21"/>
    <mergeCell ref="B22:F22"/>
    <mergeCell ref="B23:D23"/>
    <mergeCell ref="B24:D24"/>
    <mergeCell ref="E24:F24"/>
    <mergeCell ref="B16:D16"/>
    <mergeCell ref="B1:J1"/>
    <mergeCell ref="B3:J3"/>
    <mergeCell ref="B5:D5"/>
    <mergeCell ref="F7:I7"/>
    <mergeCell ref="B10:D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Check Box 1">
              <controlPr defaultSize="0" autoFill="0" autoLine="0" autoPict="0">
                <anchor moveWithCells="1">
                  <from>
                    <xdr:col>1</xdr:col>
                    <xdr:colOff>175260</xdr:colOff>
                    <xdr:row>11</xdr:row>
                    <xdr:rowOff>0</xdr:rowOff>
                  </from>
                  <to>
                    <xdr:col>1</xdr:col>
                    <xdr:colOff>175260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Check Box 2">
              <controlPr defaultSize="0" autoFill="0" autoLine="0" autoPict="0">
                <anchor moveWithCells="1">
                  <from>
                    <xdr:col>5</xdr:col>
                    <xdr:colOff>175260</xdr:colOff>
                    <xdr:row>11</xdr:row>
                    <xdr:rowOff>0</xdr:rowOff>
                  </from>
                  <to>
                    <xdr:col>5</xdr:col>
                    <xdr:colOff>175260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Check Box 3">
              <controlPr defaultSize="0" autoFill="0" autoLine="0" autoPict="0">
                <anchor moveWithCells="1">
                  <from>
                    <xdr:col>1</xdr:col>
                    <xdr:colOff>175260</xdr:colOff>
                    <xdr:row>12</xdr:row>
                    <xdr:rowOff>38100</xdr:rowOff>
                  </from>
                  <to>
                    <xdr:col>1</xdr:col>
                    <xdr:colOff>175260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Check Box 4">
              <controlPr defaultSize="0" autoFill="0" autoLine="0" autoPict="0">
                <anchor moveWithCells="1">
                  <from>
                    <xdr:col>5</xdr:col>
                    <xdr:colOff>175260</xdr:colOff>
                    <xdr:row>12</xdr:row>
                    <xdr:rowOff>38100</xdr:rowOff>
                  </from>
                  <to>
                    <xdr:col>5</xdr:col>
                    <xdr:colOff>175260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Check Box 5">
              <controlPr defaultSize="0" autoFill="0" autoLine="0" autoPict="0">
                <anchor moveWithCells="1">
                  <from>
                    <xdr:col>1</xdr:col>
                    <xdr:colOff>198120</xdr:colOff>
                    <xdr:row>16</xdr:row>
                    <xdr:rowOff>0</xdr:rowOff>
                  </from>
                  <to>
                    <xdr:col>1</xdr:col>
                    <xdr:colOff>198120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Check Box 6">
              <controlPr defaultSize="0" autoFill="0" autoLine="0" autoPict="0">
                <anchor moveWithCells="1">
                  <from>
                    <xdr:col>3</xdr:col>
                    <xdr:colOff>259080</xdr:colOff>
                    <xdr:row>16</xdr:row>
                    <xdr:rowOff>0</xdr:rowOff>
                  </from>
                  <to>
                    <xdr:col>3</xdr:col>
                    <xdr:colOff>259080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Check Box 7">
              <controlPr defaultSize="0" autoFill="0" autoLine="0" autoPict="0">
                <anchor moveWithCells="1">
                  <from>
                    <xdr:col>5</xdr:col>
                    <xdr:colOff>175260</xdr:colOff>
                    <xdr:row>16</xdr:row>
                    <xdr:rowOff>0</xdr:rowOff>
                  </from>
                  <to>
                    <xdr:col>5</xdr:col>
                    <xdr:colOff>175260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Check Box 8">
              <controlPr defaultSize="0" autoFill="0" autoLine="0" autoPict="0">
                <anchor moveWithCells="1">
                  <from>
                    <xdr:col>1</xdr:col>
                    <xdr:colOff>220980</xdr:colOff>
                    <xdr:row>29</xdr:row>
                    <xdr:rowOff>160020</xdr:rowOff>
                  </from>
                  <to>
                    <xdr:col>1</xdr:col>
                    <xdr:colOff>220980</xdr:colOff>
                    <xdr:row>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Check Box 9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160020</xdr:rowOff>
                  </from>
                  <to>
                    <xdr:col>1</xdr:col>
                    <xdr:colOff>228600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Check Box 10">
              <controlPr defaultSize="0" autoFill="0" autoLine="0" autoPict="0">
                <anchor moveWithCells="1">
                  <from>
                    <xdr:col>1</xdr:col>
                    <xdr:colOff>236220</xdr:colOff>
                    <xdr:row>33</xdr:row>
                    <xdr:rowOff>152400</xdr:rowOff>
                  </from>
                  <to>
                    <xdr:col>1</xdr:col>
                    <xdr:colOff>236220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4" name="Check Box 11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4</xdr:col>
                    <xdr:colOff>213360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5" name="Check Box 12">
              <controlPr defaultSize="0" autoFill="0" autoLine="0" autoPict="0">
                <anchor moveWithCells="1">
                  <from>
                    <xdr:col>1</xdr:col>
                    <xdr:colOff>68580</xdr:colOff>
                    <xdr:row>40</xdr:row>
                    <xdr:rowOff>7620</xdr:rowOff>
                  </from>
                  <to>
                    <xdr:col>4</xdr:col>
                    <xdr:colOff>373380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6" name="Check Box 13">
              <controlPr defaultSize="0" autoFill="0" autoLine="0" autoPict="0">
                <anchor moveWithCells="1">
                  <from>
                    <xdr:col>1</xdr:col>
                    <xdr:colOff>68580</xdr:colOff>
                    <xdr:row>41</xdr:row>
                    <xdr:rowOff>7620</xdr:rowOff>
                  </from>
                  <to>
                    <xdr:col>4</xdr:col>
                    <xdr:colOff>297180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8" r:id="rId17" name="Check Box 14">
              <controlPr defaultSize="0" autoFill="0" autoLine="0" autoPict="0">
                <anchor moveWithCells="1">
                  <from>
                    <xdr:col>1</xdr:col>
                    <xdr:colOff>68580</xdr:colOff>
                    <xdr:row>42</xdr:row>
                    <xdr:rowOff>7620</xdr:rowOff>
                  </from>
                  <to>
                    <xdr:col>4</xdr:col>
                    <xdr:colOff>144780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9" r:id="rId18" name="Check Box 15">
              <controlPr defaultSize="0" autoFill="0" autoLine="0" autoPict="0">
                <anchor moveWithCells="1">
                  <from>
                    <xdr:col>1</xdr:col>
                    <xdr:colOff>68580</xdr:colOff>
                    <xdr:row>43</xdr:row>
                    <xdr:rowOff>7620</xdr:rowOff>
                  </from>
                  <to>
                    <xdr:col>4</xdr:col>
                    <xdr:colOff>457200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0" r:id="rId19" name="Check Box 16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68580</xdr:colOff>
                    <xdr:row>45</xdr:row>
                    <xdr:rowOff>7620</xdr:rowOff>
                  </from>
                  <to>
                    <xdr:col>8</xdr:col>
                    <xdr:colOff>259080</xdr:colOff>
                    <xdr:row>46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1" r:id="rId20" name="Check Box 17">
              <controlPr defaultSize="0" autoFill="0" autoLine="0" autoPict="0">
                <anchor moveWithCells="1">
                  <from>
                    <xdr:col>1</xdr:col>
                    <xdr:colOff>68580</xdr:colOff>
                    <xdr:row>44</xdr:row>
                    <xdr:rowOff>7620</xdr:rowOff>
                  </from>
                  <to>
                    <xdr:col>4</xdr:col>
                    <xdr:colOff>373380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2" r:id="rId21" name="Check Box 18">
              <controlPr defaultSize="0" autoFill="0" autoLine="0" autoPict="0">
                <anchor moveWithCells="1">
                  <from>
                    <xdr:col>1</xdr:col>
                    <xdr:colOff>60960</xdr:colOff>
                    <xdr:row>46</xdr:row>
                    <xdr:rowOff>38100</xdr:rowOff>
                  </from>
                  <to>
                    <xdr:col>3</xdr:col>
                    <xdr:colOff>640080</xdr:colOff>
                    <xdr:row>47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1" r:id="rId22" name="Check Box 27">
              <controlPr defaultSize="0" autoFill="0" autoLine="0" autoPict="0">
                <anchor moveWithCells="1">
                  <from>
                    <xdr:col>1</xdr:col>
                    <xdr:colOff>45720</xdr:colOff>
                    <xdr:row>29</xdr:row>
                    <xdr:rowOff>182880</xdr:rowOff>
                  </from>
                  <to>
                    <xdr:col>3</xdr:col>
                    <xdr:colOff>68580</xdr:colOff>
                    <xdr:row>31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2" r:id="rId23" name="Check Box 28">
              <controlPr defaultSize="0" autoFill="0" autoLine="0" autoPict="0">
                <anchor moveWithCells="1">
                  <from>
                    <xdr:col>1</xdr:col>
                    <xdr:colOff>60960</xdr:colOff>
                    <xdr:row>31</xdr:row>
                    <xdr:rowOff>182880</xdr:rowOff>
                  </from>
                  <to>
                    <xdr:col>3</xdr:col>
                    <xdr:colOff>83820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3" r:id="rId24" name="Check Box 29">
              <controlPr defaultSize="0" autoFill="0" autoLine="0" autoPict="0">
                <anchor moveWithCells="1">
                  <from>
                    <xdr:col>1</xdr:col>
                    <xdr:colOff>68580</xdr:colOff>
                    <xdr:row>33</xdr:row>
                    <xdr:rowOff>175260</xdr:rowOff>
                  </from>
                  <to>
                    <xdr:col>3</xdr:col>
                    <xdr:colOff>99060</xdr:colOff>
                    <xdr:row>35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BN58"/>
  <sheetViews>
    <sheetView topLeftCell="AD1" zoomScale="70" zoomScaleNormal="70" workbookViewId="0">
      <selection activeCell="AH2" sqref="AH2"/>
    </sheetView>
  </sheetViews>
  <sheetFormatPr defaultColWidth="14.44140625" defaultRowHeight="15" customHeight="1" x14ac:dyDescent="0.3"/>
  <cols>
    <col min="1" max="1" width="18.44140625" customWidth="1"/>
    <col min="2" max="3" width="8.88671875" customWidth="1"/>
    <col min="4" max="4" width="38.44140625" customWidth="1"/>
    <col min="5" max="5" width="8.88671875" customWidth="1"/>
    <col min="6" max="7" width="19.33203125" customWidth="1"/>
    <col min="8" max="8" width="15.33203125" bestFit="1" customWidth="1"/>
    <col min="9" max="9" width="8.88671875" customWidth="1"/>
    <col min="10" max="11" width="29.5546875" customWidth="1"/>
    <col min="12" max="12" width="32.88671875" customWidth="1"/>
    <col min="13" max="13" width="17.5546875" customWidth="1"/>
    <col min="14" max="16" width="8.88671875" customWidth="1"/>
    <col min="17" max="17" width="6.88671875" customWidth="1"/>
    <col min="18" max="18" width="16.33203125" customWidth="1"/>
    <col min="19" max="19" width="17.88671875" customWidth="1"/>
    <col min="20" max="20" width="16.5546875" customWidth="1"/>
    <col min="21" max="21" width="18" customWidth="1"/>
    <col min="22" max="22" width="17.33203125" customWidth="1"/>
    <col min="23" max="23" width="17.88671875" customWidth="1"/>
    <col min="24" max="24" width="18.33203125" customWidth="1"/>
    <col min="25" max="25" width="18" customWidth="1"/>
    <col min="26" max="26" width="17.44140625" customWidth="1"/>
    <col min="27" max="27" width="15.44140625" customWidth="1"/>
    <col min="28" max="28" width="18.33203125" customWidth="1"/>
    <col min="29" max="29" width="19" customWidth="1"/>
    <col min="30" max="30" width="24" customWidth="1"/>
    <col min="31" max="33" width="8.88671875" customWidth="1"/>
    <col min="34" max="34" width="42.6640625" bestFit="1" customWidth="1"/>
    <col min="38" max="38" width="16.5546875" customWidth="1"/>
    <col min="44" max="44" width="113.5546875" customWidth="1"/>
    <col min="45" max="45" width="21.88671875" customWidth="1"/>
    <col min="46" max="46" width="24.88671875" customWidth="1"/>
    <col min="58" max="58" width="16.33203125" customWidth="1"/>
  </cols>
  <sheetData>
    <row r="1" spans="1:66" ht="14.25" customHeight="1" x14ac:dyDescent="0.3">
      <c r="H1" s="2" t="s">
        <v>1015</v>
      </c>
      <c r="J1" s="1150" t="s">
        <v>1016</v>
      </c>
      <c r="K1" s="1150"/>
      <c r="L1" s="1150"/>
      <c r="R1" s="1150" t="s">
        <v>1017</v>
      </c>
      <c r="S1" s="1153"/>
      <c r="T1" s="1153"/>
      <c r="U1" s="1153"/>
      <c r="V1" s="1153"/>
      <c r="W1" s="1153"/>
      <c r="X1" s="1153"/>
      <c r="Y1" s="1153"/>
      <c r="Z1" s="1153"/>
      <c r="AA1" s="1153"/>
      <c r="AB1" s="1153"/>
      <c r="AC1" s="1153"/>
      <c r="BA1" s="347" t="s">
        <v>1018</v>
      </c>
      <c r="BB1" s="347"/>
      <c r="BC1" s="347" t="s">
        <v>1019</v>
      </c>
      <c r="BD1" s="347"/>
      <c r="BE1" s="347"/>
      <c r="BF1" s="347" t="s">
        <v>1020</v>
      </c>
      <c r="BG1" s="347"/>
      <c r="BH1" s="347"/>
      <c r="BI1" s="347"/>
      <c r="BJ1" s="347"/>
      <c r="BK1" s="347"/>
      <c r="BL1" s="347"/>
      <c r="BM1" s="347"/>
      <c r="BN1" s="347"/>
    </row>
    <row r="2" spans="1:66" ht="14.25" customHeight="1" x14ac:dyDescent="0.3">
      <c r="D2" s="2" t="s">
        <v>1021</v>
      </c>
      <c r="F2" s="2" t="s">
        <v>933</v>
      </c>
      <c r="G2" s="2" t="s">
        <v>808</v>
      </c>
      <c r="H2" s="2" t="s">
        <v>808</v>
      </c>
      <c r="J2" s="2" t="s">
        <v>1022</v>
      </c>
      <c r="K2" s="2" t="s">
        <v>1023</v>
      </c>
      <c r="L2" s="2" t="s">
        <v>1024</v>
      </c>
      <c r="M2" s="2" t="s">
        <v>1025</v>
      </c>
      <c r="R2" s="1151" t="s">
        <v>1026</v>
      </c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347"/>
      <c r="AH2" s="81" t="s">
        <v>1027</v>
      </c>
      <c r="AI2" s="81"/>
      <c r="AL2" s="347" t="s">
        <v>1028</v>
      </c>
      <c r="AN2" s="347" t="s">
        <v>1029</v>
      </c>
      <c r="AQ2" s="347" t="s">
        <v>1030</v>
      </c>
      <c r="AR2" s="347" t="s">
        <v>1031</v>
      </c>
      <c r="AS2" s="347" t="s">
        <v>1032</v>
      </c>
      <c r="AU2" s="347" t="s">
        <v>1033</v>
      </c>
      <c r="AX2" s="347" t="s">
        <v>1034</v>
      </c>
      <c r="BC2" t="s">
        <v>1035</v>
      </c>
    </row>
    <row r="3" spans="1:66" ht="14.25" customHeight="1" x14ac:dyDescent="0.3">
      <c r="A3" s="68" t="s">
        <v>1036</v>
      </c>
      <c r="B3" s="69" t="s">
        <v>1037</v>
      </c>
      <c r="D3" s="2" t="s">
        <v>1038</v>
      </c>
      <c r="F3" s="2" t="s">
        <v>808</v>
      </c>
      <c r="G3" s="2" t="s">
        <v>1039</v>
      </c>
      <c r="H3" s="2" t="s">
        <v>928</v>
      </c>
      <c r="J3" s="2" t="s">
        <v>927</v>
      </c>
      <c r="K3" s="2" t="s">
        <v>927</v>
      </c>
      <c r="L3" s="2" t="s">
        <v>808</v>
      </c>
      <c r="M3" s="2" t="s">
        <v>927</v>
      </c>
      <c r="R3" s="1152">
        <v>13.8</v>
      </c>
      <c r="S3" s="1152"/>
      <c r="T3" s="1152"/>
      <c r="U3" s="1152"/>
      <c r="V3" s="1152">
        <v>22</v>
      </c>
      <c r="W3" s="1152"/>
      <c r="X3" s="1152"/>
      <c r="Y3" s="1152"/>
      <c r="Z3" s="1152">
        <v>34.5</v>
      </c>
      <c r="AA3" s="1152"/>
      <c r="AB3" s="1152"/>
      <c r="AC3" s="1152"/>
      <c r="AD3" s="347" t="s">
        <v>1040</v>
      </c>
      <c r="AH3" s="347" t="s">
        <v>1069</v>
      </c>
      <c r="AL3" cm="1">
        <f t="array" ref="AL3">IF(AND(OR('Formulário MT'!$AT$85="Não",'Formulário MT'!$AT$85=""),'Formulário MT'!$S$85=13.8,'Formulário MT'!$AE$135&gt;29,'Formulário MT'!$AE$135&lt;301),SENOVA300KW,
IF(AND(OR('Formulário MT'!$AT$85="Não",'Formulário MT'!$AT$85=""),'Formulário MT'!$S$85=13.8,'Formulário MT'!$AE$135&gt;300),"Subestação Nº 4",
IF(AND(OR('Formulário MT'!$AT$85="Não",'Formulário MT'!$AT$85=""),OR('Formulário MT'!$S$85=34.5,'Formulário MT'!$S$85=22),'Formulário MT'!$AE$135&gt;29,'Formulário MT'!$AE$135&lt;301),SENAB30022,
IF(AND(OR('Formulário MT'!$AT$85="Não",'Formulário MT'!$AT$85=""),OR('Formulário MT'!$S$85=34.5,'Formulário MT'!$S$85=22),'Formulário MT'!$AE$135&gt;300),SE_NOVA_MAIOR300KW,
IF(AND(OR('Formulário MT'!$AT$85="Sim",'Formulário MT'!$AT$85=""),OR('Formulário MT'!$S$85=34.5,'Formulário MT'!$S$85=22),'Formulário MT'!$AE$135&gt;29),SECOMP,
IF(AND(OR('Formulário MT'!$AT$85="Sim",'Formulário MT'!$AT$85=""),'Formulário MT'!$S$85=13.8,'Formulário MT'!$AE$135&gt;29),"Subestação Nº 4",
))))))</f>
        <v>0</v>
      </c>
      <c r="AN3" s="347" cm="1">
        <f t="array" ref="AN3">IF(AND('Formulário MT'!$AD$34="Conexão Nova",'Formulário MT'!$AT$85="Não",'Formulário MT'!$S$85=13.8,'Formulário MT'!$AG$131&gt;29,'Formulário MT'!$AG$131&lt;301),SENOVA300KW,
IF(AND('Formulário MT'!$AD$34="Conexão Nova",'Formulário MT'!$AT$85="Não",'Formulário MT'!$S$85=13.8,'Formulário MT'!$AG$131&gt;300),"Subestação Nº 4",
IF(AND('Formulário MT'!$AD$34="Conexão Nova",'Formulário MT'!$AT$85="Não",OR('Formulário MT'!$S$85=34.5,'Formulário MT'!$S$85=22),'Formulário MT'!$AG$131&gt;29,'Formulário MT'!$AG$131&lt;301),SENAB30022,
IF(AND('Formulário MT'!$AD$34="Conexão Nova",'Formulário MT'!$AT$85="Não",OR('Formulário MT'!$S$85=34.5,'Formulário MT'!$S$85=22),'Formulário MT'!$AG$131&gt;300),SE_NOVA_MAIOR300KW,
IF(AND('Formulário MT'!$AD$34="Conexão Nova",'Formulário MT'!$AT$85="Sim",OR('Formulário MT'!$S$85=34.5,'Formulário MT'!$S$85=22),'Formulário MT'!$AG$131&gt;29),SECOMP,
IF(AND('Formulário MT'!$AD$34="Conexão Nova",'Formulário MT'!$AT$85="Sim",'Formulário MT'!$S$85=13.8,'Formulário MT'!$AG$131&gt;29),"Subestação Nº 4",
))))))</f>
        <v>0</v>
      </c>
      <c r="AQ3">
        <v>1</v>
      </c>
      <c r="AR3" s="225" t="s">
        <v>1041</v>
      </c>
      <c r="AS3" s="221" cm="1">
        <f t="array" ref="AS3:AS10">IF(CALCULOS!D105=1,RAMALRUR,RAMALURB)</f>
        <v>1</v>
      </c>
      <c r="AT3" s="347" t="s">
        <v>1042</v>
      </c>
      <c r="AU3">
        <f>'Formulário MT'!AD34</f>
        <v>0</v>
      </c>
      <c r="AX3" s="347" t="s">
        <v>1043</v>
      </c>
      <c r="BA3" s="347" t="s">
        <v>1044</v>
      </c>
      <c r="BC3" t="s">
        <v>1045</v>
      </c>
      <c r="BF3" s="347" t="s">
        <v>1046</v>
      </c>
    </row>
    <row r="4" spans="1:66" ht="14.25" customHeight="1" x14ac:dyDescent="0.3">
      <c r="A4" s="1" t="s">
        <v>1047</v>
      </c>
      <c r="B4" s="2" t="s">
        <v>1048</v>
      </c>
      <c r="D4" s="2" t="s">
        <v>1049</v>
      </c>
      <c r="F4" s="2" t="s">
        <v>1039</v>
      </c>
      <c r="G4" s="2" t="s">
        <v>927</v>
      </c>
      <c r="H4" s="2" t="s">
        <v>934</v>
      </c>
      <c r="J4" s="2" t="s">
        <v>928</v>
      </c>
      <c r="K4" s="2" t="str">
        <f>""</f>
        <v/>
      </c>
      <c r="L4" s="2" t="s">
        <v>927</v>
      </c>
      <c r="M4" s="2" t="str">
        <f>""</f>
        <v/>
      </c>
      <c r="R4" s="1151" t="s">
        <v>1050</v>
      </c>
      <c r="S4" s="1151"/>
      <c r="T4" s="1151" t="s">
        <v>1051</v>
      </c>
      <c r="U4" s="1151"/>
      <c r="V4" s="1151" t="s">
        <v>1050</v>
      </c>
      <c r="W4" s="1151"/>
      <c r="X4" s="1151" t="s">
        <v>1051</v>
      </c>
      <c r="Y4" s="1151"/>
      <c r="Z4" s="1151" t="s">
        <v>1050</v>
      </c>
      <c r="AA4" s="1151"/>
      <c r="AB4" s="1151" t="s">
        <v>1051</v>
      </c>
      <c r="AC4" s="1151"/>
      <c r="AD4" cm="1">
        <f t="array" ref="AD4">IF(AND(G47&gt;0,G47&lt;31,I18="Conexão Nova"),"Demanda mínima permitida 30 KW",
IF(AND(F41=13.8,F42="Não",G47&gt;30,G47&lt;301,I18="Conexão Nova"),SENOVA300KW,
IF(AND(F41=13.8,F42="Não",G47&gt;300,I18="Conexão Nova"),"Subestação N°4",
IF(AND(F41=13.8,F42="Sim",G47&gt;30,G47&lt;301,I18="Conexão Nova"),SE_NOVA_MAIOR300KW,
IF(AND(F41=13.8,F42="Sim",G47&gt;300,I18="Conexão Nova"),SE_NOVA_MAIOR300KW,
IF(AND(G47&gt;2500,I18="Conexão Nova"),"Demanda máxima permitida 2500 KW",
IF(AND(M41="Sim",G47&gt;112.5,I18="Conexão Nova"),"Opção de Tarifa monômia permita somente até 112,5 KW",
IF(AND(F41=13.8,F42="Sim",M41="Não",G47&gt;30,G47&lt;301,I18="Conexão Nova"),SENOVA300KW,
))))))))</f>
        <v>0</v>
      </c>
      <c r="AH4" s="2" t="s">
        <v>1075</v>
      </c>
      <c r="AQ4">
        <v>2</v>
      </c>
      <c r="AR4" s="225" t="s">
        <v>1041</v>
      </c>
      <c r="AS4" s="221">
        <v>2</v>
      </c>
      <c r="AT4" s="347" t="s">
        <v>1053</v>
      </c>
      <c r="AU4">
        <f>'Formulário MT'!AA143</f>
        <v>0</v>
      </c>
      <c r="AX4" s="347" t="s">
        <v>1054</v>
      </c>
      <c r="BA4" s="347" t="s">
        <v>1055</v>
      </c>
      <c r="BC4" t="s">
        <v>127</v>
      </c>
    </row>
    <row r="5" spans="1:66" ht="14.25" customHeight="1" x14ac:dyDescent="0.3">
      <c r="A5" s="1" t="s">
        <v>1056</v>
      </c>
      <c r="B5" s="2" t="s">
        <v>1057</v>
      </c>
      <c r="D5" s="2" t="s">
        <v>1058</v>
      </c>
      <c r="F5" s="2" t="s">
        <v>927</v>
      </c>
      <c r="G5" s="2" t="s">
        <v>928</v>
      </c>
      <c r="H5" s="2" t="s">
        <v>929</v>
      </c>
      <c r="J5" s="2" t="s">
        <v>929</v>
      </c>
      <c r="K5" s="2" t="str">
        <f>""</f>
        <v/>
      </c>
      <c r="L5" s="2" t="str">
        <f>""</f>
        <v/>
      </c>
      <c r="M5" s="2" t="str">
        <f>""</f>
        <v/>
      </c>
      <c r="R5" s="347" t="s">
        <v>1059</v>
      </c>
      <c r="S5" s="347" t="s">
        <v>1060</v>
      </c>
      <c r="T5" s="347" t="s">
        <v>1059</v>
      </c>
      <c r="U5" s="347" t="s">
        <v>1060</v>
      </c>
      <c r="V5" s="347" t="s">
        <v>1059</v>
      </c>
      <c r="W5" s="347" t="s">
        <v>1060</v>
      </c>
      <c r="X5" s="347" t="s">
        <v>1059</v>
      </c>
      <c r="Y5" s="347" t="s">
        <v>1060</v>
      </c>
      <c r="Z5" s="347" t="s">
        <v>1059</v>
      </c>
      <c r="AA5" s="347" t="s">
        <v>1060</v>
      </c>
      <c r="AB5" s="347" t="s">
        <v>1059</v>
      </c>
      <c r="AC5" s="347" t="s">
        <v>1060</v>
      </c>
      <c r="AH5" s="2" t="s">
        <v>1234</v>
      </c>
      <c r="AQ5">
        <v>3</v>
      </c>
      <c r="AR5" s="225" t="s">
        <v>1062</v>
      </c>
      <c r="AS5" s="221">
        <v>3</v>
      </c>
      <c r="AT5" s="347" t="s">
        <v>1063</v>
      </c>
      <c r="AU5">
        <f>'Formulário MT'!AR143</f>
        <v>0</v>
      </c>
      <c r="AX5" s="347" t="s">
        <v>1064</v>
      </c>
      <c r="BA5" s="347" t="s">
        <v>116</v>
      </c>
    </row>
    <row r="6" spans="1:66" ht="14.25" customHeight="1" x14ac:dyDescent="0.3">
      <c r="A6" s="1" t="s">
        <v>1065</v>
      </c>
      <c r="B6" s="2" t="s">
        <v>1066</v>
      </c>
      <c r="D6" s="2" t="s">
        <v>1067</v>
      </c>
      <c r="F6" s="2" t="s">
        <v>928</v>
      </c>
      <c r="G6" s="2" t="s">
        <v>1068</v>
      </c>
      <c r="K6" s="2" t="str">
        <f>""</f>
        <v/>
      </c>
      <c r="L6" s="2" t="str">
        <f>""</f>
        <v/>
      </c>
      <c r="M6" s="2" t="str">
        <f>""</f>
        <v/>
      </c>
      <c r="R6" s="2" t="s">
        <v>927</v>
      </c>
      <c r="S6" s="2" t="s">
        <v>927</v>
      </c>
      <c r="T6" s="2" t="s">
        <v>927</v>
      </c>
      <c r="U6" s="2" t="s">
        <v>927</v>
      </c>
      <c r="V6" s="2" t="s">
        <v>808</v>
      </c>
      <c r="W6" s="2" t="s">
        <v>808</v>
      </c>
      <c r="X6" s="2" t="s">
        <v>808</v>
      </c>
      <c r="Y6" s="2" t="s">
        <v>808</v>
      </c>
      <c r="Z6" s="2" t="s">
        <v>808</v>
      </c>
      <c r="AA6" s="2" t="s">
        <v>808</v>
      </c>
      <c r="AB6" s="2" t="s">
        <v>808</v>
      </c>
      <c r="AC6" s="2" t="s">
        <v>808</v>
      </c>
      <c r="AH6" s="347" t="s">
        <v>1052</v>
      </c>
      <c r="AQ6">
        <v>4</v>
      </c>
      <c r="AR6" s="225" t="s">
        <v>1070</v>
      </c>
      <c r="AS6" s="221">
        <v>4</v>
      </c>
      <c r="BA6" s="347" t="s">
        <v>1071</v>
      </c>
    </row>
    <row r="7" spans="1:66" ht="14.25" customHeight="1" x14ac:dyDescent="0.3">
      <c r="A7" s="1" t="s">
        <v>1072</v>
      </c>
      <c r="B7" s="2" t="s">
        <v>1073</v>
      </c>
      <c r="D7" s="2" t="s">
        <v>1074</v>
      </c>
      <c r="F7" s="2" t="s">
        <v>934</v>
      </c>
      <c r="G7" s="2" t="s">
        <v>929</v>
      </c>
      <c r="R7" s="2" t="s">
        <v>928</v>
      </c>
      <c r="V7" s="2" t="s">
        <v>927</v>
      </c>
      <c r="W7" s="2" t="s">
        <v>927</v>
      </c>
      <c r="X7" s="2" t="s">
        <v>927</v>
      </c>
      <c r="Y7" s="2" t="s">
        <v>927</v>
      </c>
      <c r="Z7" s="2" t="s">
        <v>927</v>
      </c>
      <c r="AA7" s="2" t="s">
        <v>927</v>
      </c>
      <c r="AB7" s="2" t="s">
        <v>927</v>
      </c>
      <c r="AC7" s="2" t="s">
        <v>927</v>
      </c>
      <c r="AH7" s="347" t="s">
        <v>828</v>
      </c>
      <c r="AQ7">
        <v>5</v>
      </c>
      <c r="AR7" s="225" t="s">
        <v>1076</v>
      </c>
      <c r="AS7" s="221">
        <v>5</v>
      </c>
      <c r="BA7" s="347" t="s">
        <v>1077</v>
      </c>
    </row>
    <row r="8" spans="1:66" ht="72" x14ac:dyDescent="0.3">
      <c r="A8" s="1" t="s">
        <v>1078</v>
      </c>
      <c r="B8" s="2" t="s">
        <v>1079</v>
      </c>
      <c r="D8" s="2" t="s">
        <v>1080</v>
      </c>
      <c r="F8" s="2" t="s">
        <v>1068</v>
      </c>
      <c r="R8" s="2" t="s">
        <v>929</v>
      </c>
      <c r="V8" s="2" t="s">
        <v>928</v>
      </c>
      <c r="Z8" s="2" t="s">
        <v>928</v>
      </c>
      <c r="AH8" s="2" t="s">
        <v>1086</v>
      </c>
      <c r="AQ8">
        <v>6</v>
      </c>
      <c r="AR8" s="339" t="s">
        <v>1082</v>
      </c>
      <c r="AS8" s="221">
        <v>6</v>
      </c>
      <c r="BA8" s="347" t="s">
        <v>133</v>
      </c>
    </row>
    <row r="9" spans="1:66" ht="72" x14ac:dyDescent="0.3">
      <c r="A9" s="1" t="s">
        <v>1083</v>
      </c>
      <c r="B9" s="2" t="s">
        <v>1084</v>
      </c>
      <c r="D9" s="2" t="s">
        <v>1085</v>
      </c>
      <c r="F9" s="2" t="s">
        <v>929</v>
      </c>
      <c r="V9" s="2" t="s">
        <v>929</v>
      </c>
      <c r="Z9" s="2" t="str">
        <f>""</f>
        <v/>
      </c>
      <c r="AH9" s="362" t="s">
        <v>1238</v>
      </c>
      <c r="AQ9">
        <v>7</v>
      </c>
      <c r="AR9" s="339" t="s">
        <v>1087</v>
      </c>
      <c r="AS9" s="221">
        <v>7</v>
      </c>
      <c r="BA9" s="347" t="s">
        <v>1088</v>
      </c>
    </row>
    <row r="10" spans="1:66" ht="72" x14ac:dyDescent="0.3">
      <c r="A10" s="1" t="s">
        <v>1089</v>
      </c>
      <c r="B10" s="2" t="s">
        <v>1090</v>
      </c>
      <c r="D10" s="2" t="s">
        <v>1091</v>
      </c>
      <c r="Z10" s="2" t="s">
        <v>929</v>
      </c>
      <c r="AH10" s="362" t="s">
        <v>1239</v>
      </c>
      <c r="AQ10">
        <v>8</v>
      </c>
      <c r="AR10" s="339" t="s">
        <v>1092</v>
      </c>
      <c r="AS10" s="221">
        <v>8</v>
      </c>
    </row>
    <row r="11" spans="1:66" ht="87.75" customHeight="1" x14ac:dyDescent="0.3">
      <c r="A11" s="1" t="s">
        <v>1093</v>
      </c>
      <c r="B11" s="2" t="s">
        <v>1094</v>
      </c>
      <c r="D11" s="2" t="s">
        <v>1095</v>
      </c>
      <c r="J11" s="2"/>
      <c r="K11" s="2"/>
      <c r="AH11" s="362" t="s">
        <v>1237</v>
      </c>
      <c r="AQ11" s="225">
        <v>9</v>
      </c>
      <c r="AR11" s="339" t="s">
        <v>1096</v>
      </c>
    </row>
    <row r="12" spans="1:66" ht="83.25" customHeight="1" x14ac:dyDescent="0.3">
      <c r="A12" s="1" t="s">
        <v>1097</v>
      </c>
      <c r="B12" s="2" t="s">
        <v>1098</v>
      </c>
      <c r="D12" s="2" t="s">
        <v>1099</v>
      </c>
      <c r="J12" s="1150" t="s">
        <v>1100</v>
      </c>
      <c r="K12" s="1150"/>
      <c r="L12" s="1150"/>
      <c r="AH12" s="347" t="s">
        <v>1061</v>
      </c>
      <c r="AQ12" s="225">
        <v>10</v>
      </c>
      <c r="AR12" s="339" t="s">
        <v>1101</v>
      </c>
    </row>
    <row r="13" spans="1:66" ht="70.5" customHeight="1" x14ac:dyDescent="0.3">
      <c r="A13" s="1" t="s">
        <v>1102</v>
      </c>
      <c r="B13" s="2" t="s">
        <v>1103</v>
      </c>
      <c r="D13" s="2" t="s">
        <v>1104</v>
      </c>
      <c r="J13" s="2" t="s">
        <v>1022</v>
      </c>
      <c r="K13" s="2" t="s">
        <v>1023</v>
      </c>
      <c r="L13" s="2" t="s">
        <v>1024</v>
      </c>
      <c r="M13" s="2" t="s">
        <v>1025</v>
      </c>
      <c r="AH13" s="2" t="s">
        <v>1081</v>
      </c>
      <c r="AQ13" s="225">
        <v>11</v>
      </c>
      <c r="AR13" s="339" t="s">
        <v>1105</v>
      </c>
    </row>
    <row r="14" spans="1:66" ht="71.25" customHeight="1" x14ac:dyDescent="0.3">
      <c r="A14" s="1" t="s">
        <v>1106</v>
      </c>
      <c r="B14" s="2" t="s">
        <v>1107</v>
      </c>
      <c r="D14" s="2" t="s">
        <v>1108</v>
      </c>
      <c r="J14" s="2" t="s">
        <v>927</v>
      </c>
      <c r="K14" s="2" t="s">
        <v>808</v>
      </c>
      <c r="L14" s="2" t="s">
        <v>808</v>
      </c>
      <c r="M14" s="2" t="s">
        <v>808</v>
      </c>
      <c r="AQ14" s="225">
        <v>12</v>
      </c>
      <c r="AR14" s="339" t="s">
        <v>1109</v>
      </c>
    </row>
    <row r="15" spans="1:66" ht="18.75" customHeight="1" x14ac:dyDescent="0.3">
      <c r="A15" s="1" t="s">
        <v>1110</v>
      </c>
      <c r="B15" s="2" t="s">
        <v>1111</v>
      </c>
      <c r="D15" s="2" t="s">
        <v>1112</v>
      </c>
      <c r="J15" s="2" t="s">
        <v>928</v>
      </c>
      <c r="K15" s="2" t="s">
        <v>927</v>
      </c>
      <c r="L15" s="2" t="s">
        <v>927</v>
      </c>
      <c r="M15" s="2" t="s">
        <v>927</v>
      </c>
      <c r="BF15" s="2" t="s">
        <v>808</v>
      </c>
    </row>
    <row r="16" spans="1:66" ht="18" customHeight="1" x14ac:dyDescent="0.3">
      <c r="A16" s="1" t="s">
        <v>1113</v>
      </c>
      <c r="B16" s="2" t="s">
        <v>1114</v>
      </c>
      <c r="D16" s="2" t="s">
        <v>1115</v>
      </c>
      <c r="J16" s="2" t="s">
        <v>929</v>
      </c>
      <c r="K16" s="2"/>
      <c r="BF16" s="2" t="s">
        <v>927</v>
      </c>
    </row>
    <row r="17" spans="1:58" ht="14.25" customHeight="1" x14ac:dyDescent="0.3">
      <c r="A17" s="1" t="s">
        <v>1116</v>
      </c>
      <c r="B17" s="2" t="s">
        <v>1117</v>
      </c>
      <c r="D17" s="2" t="s">
        <v>1118</v>
      </c>
      <c r="K17" s="2"/>
      <c r="BF17" s="2" t="s">
        <v>928</v>
      </c>
    </row>
    <row r="18" spans="1:58" ht="14.25" customHeight="1" x14ac:dyDescent="0.3">
      <c r="A18" s="1" t="s">
        <v>1119</v>
      </c>
      <c r="B18" s="2" t="s">
        <v>1120</v>
      </c>
      <c r="D18" s="2" t="s">
        <v>1121</v>
      </c>
      <c r="BF18" s="2" t="s">
        <v>929</v>
      </c>
    </row>
    <row r="19" spans="1:58" ht="14.25" customHeight="1" x14ac:dyDescent="0.3">
      <c r="A19" s="1" t="s">
        <v>1122</v>
      </c>
      <c r="B19" s="2" t="s">
        <v>1123</v>
      </c>
      <c r="D19" s="2" t="s">
        <v>1124</v>
      </c>
    </row>
    <row r="20" spans="1:58" ht="14.25" customHeight="1" x14ac:dyDescent="0.3">
      <c r="A20" s="1" t="s">
        <v>1125</v>
      </c>
      <c r="B20" s="2" t="s">
        <v>1126</v>
      </c>
      <c r="D20" s="2" t="s">
        <v>1127</v>
      </c>
    </row>
    <row r="21" spans="1:58" ht="14.25" customHeight="1" x14ac:dyDescent="0.3">
      <c r="A21" s="1" t="s">
        <v>1128</v>
      </c>
      <c r="B21" s="2" t="s">
        <v>1129</v>
      </c>
      <c r="D21" s="2" t="s">
        <v>1130</v>
      </c>
    </row>
    <row r="22" spans="1:58" ht="14.25" customHeight="1" x14ac:dyDescent="0.3">
      <c r="A22" s="1" t="s">
        <v>1131</v>
      </c>
      <c r="B22" s="2" t="s">
        <v>1132</v>
      </c>
      <c r="D22" s="2" t="s">
        <v>1133</v>
      </c>
    </row>
    <row r="23" spans="1:58" ht="14.25" customHeight="1" x14ac:dyDescent="0.3">
      <c r="A23" s="1" t="s">
        <v>1134</v>
      </c>
      <c r="B23" s="2" t="s">
        <v>1135</v>
      </c>
      <c r="D23" s="2" t="s">
        <v>1136</v>
      </c>
      <c r="J23" s="1150" t="s">
        <v>1137</v>
      </c>
      <c r="K23" s="1150"/>
      <c r="L23" s="1150"/>
    </row>
    <row r="24" spans="1:58" ht="14.25" customHeight="1" x14ac:dyDescent="0.3">
      <c r="A24" s="1" t="s">
        <v>1138</v>
      </c>
      <c r="B24" s="2" t="s">
        <v>1139</v>
      </c>
      <c r="D24" s="2" t="s">
        <v>1140</v>
      </c>
      <c r="J24" s="2" t="s">
        <v>1022</v>
      </c>
      <c r="K24" s="2" t="s">
        <v>1023</v>
      </c>
      <c r="L24" s="2" t="s">
        <v>1024</v>
      </c>
      <c r="M24" s="2" t="s">
        <v>1025</v>
      </c>
    </row>
    <row r="25" spans="1:58" ht="14.25" customHeight="1" x14ac:dyDescent="0.3">
      <c r="A25" s="1" t="s">
        <v>1141</v>
      </c>
      <c r="B25" s="2" t="s">
        <v>1142</v>
      </c>
      <c r="D25" s="2" t="s">
        <v>1143</v>
      </c>
      <c r="J25" s="2" t="s">
        <v>927</v>
      </c>
      <c r="K25" s="2" t="s">
        <v>808</v>
      </c>
      <c r="L25" s="2" t="s">
        <v>808</v>
      </c>
      <c r="M25" s="2" t="s">
        <v>808</v>
      </c>
    </row>
    <row r="26" spans="1:58" ht="14.25" customHeight="1" x14ac:dyDescent="0.3">
      <c r="A26" s="1" t="s">
        <v>1144</v>
      </c>
      <c r="B26" s="2" t="s">
        <v>1145</v>
      </c>
      <c r="D26" s="2" t="s">
        <v>1146</v>
      </c>
      <c r="J26" s="2" t="s">
        <v>928</v>
      </c>
      <c r="K26" s="2" t="s">
        <v>927</v>
      </c>
      <c r="L26" s="2" t="s">
        <v>927</v>
      </c>
      <c r="M26" s="2" t="s">
        <v>927</v>
      </c>
    </row>
    <row r="27" spans="1:58" ht="14.25" customHeight="1" x14ac:dyDescent="0.3">
      <c r="A27" s="1" t="s">
        <v>1147</v>
      </c>
      <c r="B27" s="2" t="s">
        <v>1148</v>
      </c>
      <c r="D27" s="2" t="s">
        <v>1149</v>
      </c>
      <c r="J27" s="2" t="s">
        <v>929</v>
      </c>
      <c r="K27" s="2"/>
    </row>
    <row r="28" spans="1:58" ht="14.25" customHeight="1" x14ac:dyDescent="0.3">
      <c r="A28" s="1" t="s">
        <v>1150</v>
      </c>
      <c r="B28" s="2" t="s">
        <v>1151</v>
      </c>
      <c r="D28" s="2" t="s">
        <v>1152</v>
      </c>
      <c r="K28" s="2"/>
      <c r="AR28" s="347" t="s">
        <v>1153</v>
      </c>
    </row>
    <row r="29" spans="1:58" ht="14.25" customHeight="1" x14ac:dyDescent="0.3">
      <c r="A29" s="1" t="s">
        <v>1154</v>
      </c>
      <c r="B29" s="2" t="s">
        <v>1155</v>
      </c>
      <c r="D29" s="2" t="s">
        <v>1156</v>
      </c>
      <c r="AR29" s="347" t="s">
        <v>1157</v>
      </c>
    </row>
    <row r="30" spans="1:58" ht="14.25" customHeight="1" x14ac:dyDescent="0.3">
      <c r="A30" s="1" t="s">
        <v>1158</v>
      </c>
      <c r="B30" s="2" t="s">
        <v>1159</v>
      </c>
      <c r="D30" s="2" t="s">
        <v>1160</v>
      </c>
      <c r="AR30" s="347" t="s">
        <v>1161</v>
      </c>
    </row>
    <row r="31" spans="1:58" ht="14.25" customHeight="1" x14ac:dyDescent="0.3">
      <c r="A31" s="1" t="s">
        <v>1162</v>
      </c>
      <c r="B31" s="2" t="s">
        <v>1163</v>
      </c>
      <c r="D31" s="2" t="s">
        <v>1164</v>
      </c>
      <c r="AR31" s="347" t="s">
        <v>1165</v>
      </c>
    </row>
    <row r="32" spans="1:58" ht="14.25" customHeight="1" x14ac:dyDescent="0.3">
      <c r="A32" s="2" t="s">
        <v>1166</v>
      </c>
      <c r="B32" s="2" t="s">
        <v>1167</v>
      </c>
      <c r="D32" s="2" t="s">
        <v>1168</v>
      </c>
      <c r="AR32" s="347" t="s">
        <v>1169</v>
      </c>
    </row>
    <row r="33" spans="1:44" ht="14.25" customHeight="1" x14ac:dyDescent="0.3">
      <c r="A33" s="2" t="s">
        <v>1170</v>
      </c>
      <c r="B33" s="2" t="s">
        <v>1171</v>
      </c>
      <c r="D33" s="2" t="s">
        <v>1172</v>
      </c>
      <c r="AR33" s="347" t="s">
        <v>1173</v>
      </c>
    </row>
    <row r="34" spans="1:44" ht="14.25" customHeight="1" x14ac:dyDescent="0.3">
      <c r="A34" s="2" t="s">
        <v>1174</v>
      </c>
      <c r="B34" s="2" t="s">
        <v>1175</v>
      </c>
      <c r="D34" s="2" t="s">
        <v>1176</v>
      </c>
      <c r="AR34" s="347" t="s">
        <v>1177</v>
      </c>
    </row>
    <row r="35" spans="1:44" ht="14.25" customHeight="1" x14ac:dyDescent="0.3">
      <c r="A35" s="2" t="s">
        <v>1178</v>
      </c>
      <c r="B35" s="2" t="s">
        <v>1179</v>
      </c>
      <c r="D35" s="2" t="s">
        <v>1180</v>
      </c>
    </row>
    <row r="36" spans="1:44" ht="14.25" customHeight="1" x14ac:dyDescent="0.3">
      <c r="A36" s="2" t="s">
        <v>1181</v>
      </c>
      <c r="B36" s="2" t="s">
        <v>1182</v>
      </c>
      <c r="D36" s="2" t="s">
        <v>1183</v>
      </c>
    </row>
    <row r="37" spans="1:44" ht="14.25" customHeight="1" x14ac:dyDescent="0.3">
      <c r="A37" s="2" t="s">
        <v>1184</v>
      </c>
      <c r="B37" s="2" t="s">
        <v>1185</v>
      </c>
      <c r="D37" s="2" t="s">
        <v>1186</v>
      </c>
    </row>
    <row r="38" spans="1:44" ht="14.25" customHeight="1" x14ac:dyDescent="0.3">
      <c r="A38" s="2" t="s">
        <v>1187</v>
      </c>
      <c r="B38" s="2" t="s">
        <v>1188</v>
      </c>
      <c r="D38" s="2" t="s">
        <v>1189</v>
      </c>
    </row>
    <row r="39" spans="1:44" ht="14.25" customHeight="1" x14ac:dyDescent="0.3">
      <c r="A39" s="2" t="s">
        <v>1190</v>
      </c>
      <c r="B39" s="2" t="s">
        <v>1191</v>
      </c>
      <c r="D39" s="2" t="s">
        <v>1192</v>
      </c>
    </row>
    <row r="40" spans="1:44" ht="14.25" customHeight="1" x14ac:dyDescent="0.3">
      <c r="A40" s="2" t="s">
        <v>1193</v>
      </c>
      <c r="B40" s="2" t="s">
        <v>1194</v>
      </c>
      <c r="D40" s="2" t="s">
        <v>1195</v>
      </c>
    </row>
    <row r="41" spans="1:44" ht="14.25" customHeight="1" x14ac:dyDescent="0.3">
      <c r="A41" s="2" t="s">
        <v>1196</v>
      </c>
      <c r="B41" s="2" t="s">
        <v>1197</v>
      </c>
      <c r="D41" s="2" t="s">
        <v>1198</v>
      </c>
    </row>
    <row r="42" spans="1:44" ht="14.25" customHeight="1" x14ac:dyDescent="0.3">
      <c r="A42" s="2" t="s">
        <v>1199</v>
      </c>
      <c r="B42" s="2" t="s">
        <v>1200</v>
      </c>
      <c r="D42" s="2" t="s">
        <v>1201</v>
      </c>
    </row>
    <row r="43" spans="1:44" ht="14.25" customHeight="1" x14ac:dyDescent="0.3">
      <c r="A43" s="2" t="s">
        <v>1202</v>
      </c>
      <c r="B43" s="2" t="s">
        <v>1203</v>
      </c>
    </row>
    <row r="44" spans="1:44" ht="14.25" customHeight="1" x14ac:dyDescent="0.3">
      <c r="A44" s="2" t="s">
        <v>1204</v>
      </c>
      <c r="B44" s="2" t="s">
        <v>1205</v>
      </c>
    </row>
    <row r="45" spans="1:44" ht="14.25" customHeight="1" x14ac:dyDescent="0.3">
      <c r="A45" s="2" t="s">
        <v>1206</v>
      </c>
      <c r="B45" s="2" t="s">
        <v>1207</v>
      </c>
    </row>
    <row r="46" spans="1:44" ht="14.25" customHeight="1" x14ac:dyDescent="0.3">
      <c r="A46" s="2" t="s">
        <v>1208</v>
      </c>
      <c r="B46" s="2" t="s">
        <v>1209</v>
      </c>
    </row>
    <row r="47" spans="1:44" ht="14.25" customHeight="1" x14ac:dyDescent="0.3">
      <c r="A47" s="2" t="s">
        <v>1210</v>
      </c>
      <c r="B47" s="2" t="s">
        <v>1211</v>
      </c>
    </row>
    <row r="48" spans="1:44" ht="14.25" customHeight="1" x14ac:dyDescent="0.3">
      <c r="A48" s="2" t="s">
        <v>1212</v>
      </c>
      <c r="B48" s="2" t="s">
        <v>1213</v>
      </c>
    </row>
    <row r="49" spans="1:2" ht="14.25" customHeight="1" x14ac:dyDescent="0.3">
      <c r="A49" s="2" t="s">
        <v>1214</v>
      </c>
      <c r="B49" s="2" t="s">
        <v>1215</v>
      </c>
    </row>
    <row r="50" spans="1:2" ht="14.25" customHeight="1" x14ac:dyDescent="0.3">
      <c r="A50" s="2" t="s">
        <v>1216</v>
      </c>
      <c r="B50" s="2" t="s">
        <v>1217</v>
      </c>
    </row>
    <row r="51" spans="1:2" ht="14.25" customHeight="1" x14ac:dyDescent="0.3">
      <c r="A51" s="2" t="s">
        <v>1218</v>
      </c>
      <c r="B51" s="2" t="s">
        <v>1219</v>
      </c>
    </row>
    <row r="52" spans="1:2" ht="14.25" customHeight="1" x14ac:dyDescent="0.3">
      <c r="A52" s="2" t="s">
        <v>1220</v>
      </c>
      <c r="B52" s="2" t="s">
        <v>1221</v>
      </c>
    </row>
    <row r="53" spans="1:2" ht="14.25" customHeight="1" x14ac:dyDescent="0.3">
      <c r="A53" s="2" t="s">
        <v>1222</v>
      </c>
      <c r="B53" s="2" t="s">
        <v>1223</v>
      </c>
    </row>
    <row r="54" spans="1:2" ht="14.25" customHeight="1" x14ac:dyDescent="0.3">
      <c r="A54" s="2" t="s">
        <v>1224</v>
      </c>
      <c r="B54" s="2" t="s">
        <v>1225</v>
      </c>
    </row>
    <row r="55" spans="1:2" ht="14.25" customHeight="1" x14ac:dyDescent="0.3">
      <c r="A55" s="2" t="s">
        <v>1226</v>
      </c>
      <c r="B55" s="2" t="s">
        <v>1227</v>
      </c>
    </row>
    <row r="56" spans="1:2" ht="14.25" customHeight="1" x14ac:dyDescent="0.3">
      <c r="A56" s="2" t="s">
        <v>1228</v>
      </c>
      <c r="B56" s="2" t="s">
        <v>1229</v>
      </c>
    </row>
    <row r="57" spans="1:2" ht="14.25" customHeight="1" x14ac:dyDescent="0.3">
      <c r="A57" s="2" t="s">
        <v>1230</v>
      </c>
      <c r="B57" s="2" t="s">
        <v>1231</v>
      </c>
    </row>
    <row r="58" spans="1:2" ht="14.25" customHeight="1" x14ac:dyDescent="0.3">
      <c r="A58" s="2" t="s">
        <v>1232</v>
      </c>
      <c r="B58" s="2" t="s">
        <v>1233</v>
      </c>
    </row>
  </sheetData>
  <sheetProtection selectLockedCells="1" selectUnlockedCells="1"/>
  <autoFilter ref="AH2:AH13" xr:uid="{00000000-0001-0000-0200-000000000000}"/>
  <mergeCells count="14">
    <mergeCell ref="J12:L12"/>
    <mergeCell ref="J23:L23"/>
    <mergeCell ref="J1:L1"/>
    <mergeCell ref="R2:AC2"/>
    <mergeCell ref="R3:U3"/>
    <mergeCell ref="V3:Y3"/>
    <mergeCell ref="Z3:AC3"/>
    <mergeCell ref="AB4:AC4"/>
    <mergeCell ref="R1:AC1"/>
    <mergeCell ref="R4:S4"/>
    <mergeCell ref="T4:U4"/>
    <mergeCell ref="V4:W4"/>
    <mergeCell ref="X4:Y4"/>
    <mergeCell ref="Z4:AA4"/>
  </mergeCells>
  <phoneticPr fontId="16" type="noConversion"/>
  <pageMargins left="0.7" right="0.7" top="0.75" bottom="0.75" header="0" footer="0"/>
  <pageSetup paperSize="9" orientation="portrait" r:id="rId1"/>
  <headerFooter>
    <oddFooter>&amp;R_x000D_&amp;1#&amp;"Calibri"&amp;10&amp;K000000 Classificação: Direcionado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A0B72-8BDD-4E1B-97E6-0DCCFFD852CB}">
  <sheetPr codeName="Planilha11"/>
  <dimension ref="B4:H16"/>
  <sheetViews>
    <sheetView topLeftCell="A9" zoomScale="55" zoomScaleNormal="55" workbookViewId="0">
      <selection activeCell="D9" sqref="D9"/>
    </sheetView>
  </sheetViews>
  <sheetFormatPr defaultRowHeight="14.4" x14ac:dyDescent="0.3"/>
  <cols>
    <col min="3" max="3" width="170.6640625" customWidth="1"/>
    <col min="9" max="9" width="166.6640625" customWidth="1"/>
  </cols>
  <sheetData>
    <row r="4" spans="2:8" ht="409.5" customHeight="1" x14ac:dyDescent="0.3">
      <c r="B4" s="136">
        <v>0</v>
      </c>
    </row>
    <row r="5" spans="2:8" ht="409.5" customHeight="1" x14ac:dyDescent="0.3">
      <c r="B5" s="136">
        <v>1</v>
      </c>
      <c r="H5" s="136">
        <f>'Formulário MT'!BC169</f>
        <v>2</v>
      </c>
    </row>
    <row r="6" spans="2:8" ht="409.5" customHeight="1" x14ac:dyDescent="0.3">
      <c r="B6" s="136">
        <v>2</v>
      </c>
    </row>
    <row r="7" spans="2:8" ht="409.5" customHeight="1" x14ac:dyDescent="0.3">
      <c r="B7" s="136">
        <v>3</v>
      </c>
    </row>
    <row r="8" spans="2:8" ht="408.9" customHeight="1" x14ac:dyDescent="0.3">
      <c r="B8" s="136">
        <v>4</v>
      </c>
    </row>
    <row r="9" spans="2:8" ht="408.9" customHeight="1" x14ac:dyDescent="0.3">
      <c r="B9" s="136">
        <v>5</v>
      </c>
    </row>
    <row r="10" spans="2:8" ht="408.9" customHeight="1" x14ac:dyDescent="0.3">
      <c r="B10" s="136">
        <v>6</v>
      </c>
    </row>
    <row r="11" spans="2:8" ht="408.75" customHeight="1" x14ac:dyDescent="0.3">
      <c r="B11" s="136">
        <v>7</v>
      </c>
    </row>
    <row r="12" spans="2:8" ht="408" customHeight="1" x14ac:dyDescent="0.3">
      <c r="B12" s="136">
        <v>8</v>
      </c>
    </row>
    <row r="13" spans="2:8" ht="408" customHeight="1" x14ac:dyDescent="0.3">
      <c r="B13" s="136">
        <v>9</v>
      </c>
    </row>
    <row r="14" spans="2:8" ht="408" customHeight="1" x14ac:dyDescent="0.3">
      <c r="B14" s="136">
        <v>10</v>
      </c>
    </row>
    <row r="15" spans="2:8" ht="408" customHeight="1" x14ac:dyDescent="0.3">
      <c r="B15" s="136">
        <v>11</v>
      </c>
    </row>
    <row r="16" spans="2:8" ht="408" customHeight="1" x14ac:dyDescent="0.3">
      <c r="B16" s="136">
        <v>12</v>
      </c>
    </row>
  </sheetData>
  <sheetProtection algorithmName="SHA-512" hashValue="FJnpqxtfr7WPtdNGZ7T722/y+Zrnbd8iWqcEWwOPgvOTmXCO2v1S6ureQEW5lmr8zbnv+xjcW62Q7zNyjp2x5A==" saltValue="ZNSLSm8TIVc4VrTehrTUkQ==" spinCount="100000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Direcionado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7634-6301-431D-B90B-14EAFFD483B0}">
  <sheetPr codeName="Planilha6"/>
  <dimension ref="A1:AP53"/>
  <sheetViews>
    <sheetView workbookViewId="0">
      <selection activeCell="AR16" sqref="AR16"/>
    </sheetView>
  </sheetViews>
  <sheetFormatPr defaultRowHeight="14.4" x14ac:dyDescent="0.3"/>
  <cols>
    <col min="1" max="1" width="15.88671875" customWidth="1"/>
    <col min="2" max="2" width="15.33203125" customWidth="1"/>
    <col min="3" max="3" width="4.44140625" customWidth="1"/>
    <col min="4" max="4" width="5.88671875" hidden="1" customWidth="1"/>
    <col min="5" max="6" width="3.5546875" hidden="1" customWidth="1"/>
    <col min="7" max="7" width="7.6640625" hidden="1" customWidth="1"/>
    <col min="8" max="8" width="12.5546875" hidden="1" customWidth="1"/>
    <col min="9" max="9" width="3.5546875" hidden="1" customWidth="1"/>
    <col min="10" max="10" width="4.6640625" hidden="1" customWidth="1"/>
    <col min="11" max="11" width="7" hidden="1" customWidth="1"/>
    <col min="12" max="12" width="12.5546875" hidden="1" customWidth="1"/>
    <col min="13" max="13" width="11" hidden="1" customWidth="1"/>
    <col min="14" max="16" width="12" hidden="1" customWidth="1"/>
    <col min="17" max="20" width="12.44140625" hidden="1" customWidth="1"/>
    <col min="21" max="21" width="10" hidden="1" customWidth="1"/>
    <col min="22" max="22" width="12.5546875" hidden="1" customWidth="1"/>
    <col min="23" max="28" width="12" hidden="1" customWidth="1"/>
    <col min="29" max="29" width="10" hidden="1" customWidth="1"/>
    <col min="30" max="31" width="14.6640625" customWidth="1"/>
    <col min="32" max="32" width="7.44140625" hidden="1" customWidth="1"/>
    <col min="33" max="33" width="4.109375" hidden="1" customWidth="1"/>
    <col min="34" max="34" width="9.44140625" hidden="1" customWidth="1"/>
    <col min="35" max="35" width="5.44140625" hidden="1" customWidth="1"/>
    <col min="36" max="36" width="5" hidden="1" customWidth="1"/>
    <col min="37" max="37" width="6.5546875" hidden="1" customWidth="1"/>
    <col min="38" max="39" width="11.88671875" style="93" customWidth="1"/>
  </cols>
  <sheetData>
    <row r="1" spans="1:42" x14ac:dyDescent="0.3">
      <c r="A1" s="843" t="s">
        <v>166</v>
      </c>
      <c r="B1" s="844"/>
      <c r="C1" s="107"/>
      <c r="D1" s="845" t="s">
        <v>167</v>
      </c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6"/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  <c r="AI1" s="846"/>
      <c r="AJ1" s="846"/>
      <c r="AK1" s="846"/>
      <c r="AL1" s="846"/>
      <c r="AM1" s="846"/>
    </row>
    <row r="2" spans="1:42" x14ac:dyDescent="0.3">
      <c r="A2" s="847" t="s">
        <v>168</v>
      </c>
      <c r="B2" s="848"/>
      <c r="C2" s="108"/>
      <c r="D2" s="849" t="s">
        <v>169</v>
      </c>
      <c r="E2" s="851" t="s">
        <v>170</v>
      </c>
      <c r="F2" s="852"/>
      <c r="G2" s="852"/>
      <c r="H2" s="853"/>
      <c r="I2" s="851" t="s">
        <v>171</v>
      </c>
      <c r="J2" s="852"/>
      <c r="K2" s="852"/>
      <c r="L2" s="853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10"/>
      <c r="Y2" s="110"/>
      <c r="Z2" s="110"/>
      <c r="AA2" s="110"/>
      <c r="AB2" s="110"/>
      <c r="AC2" s="110"/>
      <c r="AD2" s="851" t="s">
        <v>172</v>
      </c>
      <c r="AE2" s="853"/>
      <c r="AF2" s="111"/>
      <c r="AG2" s="111"/>
      <c r="AH2" s="111"/>
      <c r="AI2" s="111"/>
      <c r="AJ2" s="111"/>
      <c r="AK2" s="111"/>
      <c r="AL2" s="352" t="s">
        <v>173</v>
      </c>
      <c r="AM2" s="352" t="s">
        <v>174</v>
      </c>
    </row>
    <row r="3" spans="1:42" x14ac:dyDescent="0.3">
      <c r="A3" s="854" t="str">
        <f>IF(A2="SAD69","Elipsóide: UGGI67",IF(A2="SIRGAS2000","Elipsóide: GRS80","Elipsóide: Hayford"))</f>
        <v>Elipsóide: GRS80</v>
      </c>
      <c r="B3" s="855"/>
      <c r="C3" s="113"/>
      <c r="D3" s="850"/>
      <c r="E3" s="352" t="s">
        <v>175</v>
      </c>
      <c r="F3" s="352" t="s">
        <v>176</v>
      </c>
      <c r="G3" s="352" t="s">
        <v>177</v>
      </c>
      <c r="H3" s="352" t="s">
        <v>178</v>
      </c>
      <c r="I3" s="352" t="s">
        <v>175</v>
      </c>
      <c r="J3" s="352" t="s">
        <v>176</v>
      </c>
      <c r="K3" s="352" t="s">
        <v>177</v>
      </c>
      <c r="L3" s="352" t="s">
        <v>178</v>
      </c>
      <c r="M3" s="353" t="s">
        <v>179</v>
      </c>
      <c r="N3" s="353" t="s">
        <v>180</v>
      </c>
      <c r="O3" s="353" t="s">
        <v>181</v>
      </c>
      <c r="P3" s="353" t="s">
        <v>182</v>
      </c>
      <c r="Q3" s="353" t="s">
        <v>183</v>
      </c>
      <c r="R3" s="353" t="s">
        <v>184</v>
      </c>
      <c r="S3" s="353" t="s">
        <v>185</v>
      </c>
      <c r="T3" s="353" t="s">
        <v>186</v>
      </c>
      <c r="U3" s="353" t="s">
        <v>187</v>
      </c>
      <c r="V3" s="353" t="s">
        <v>188</v>
      </c>
      <c r="W3" s="353" t="s">
        <v>189</v>
      </c>
      <c r="X3" s="353" t="s">
        <v>190</v>
      </c>
      <c r="Y3" s="353" t="s">
        <v>191</v>
      </c>
      <c r="Z3" s="353" t="s">
        <v>192</v>
      </c>
      <c r="AA3" s="353" t="s">
        <v>193</v>
      </c>
      <c r="AB3" s="353" t="s">
        <v>194</v>
      </c>
      <c r="AC3" s="353" t="s">
        <v>195</v>
      </c>
      <c r="AD3" s="353" t="s">
        <v>185</v>
      </c>
      <c r="AE3" s="353" t="s">
        <v>196</v>
      </c>
      <c r="AF3" s="111"/>
      <c r="AG3" s="111"/>
      <c r="AH3" s="111"/>
      <c r="AI3" s="111"/>
      <c r="AJ3" s="111"/>
      <c r="AK3" s="111"/>
      <c r="AL3" s="352" t="s">
        <v>175</v>
      </c>
      <c r="AM3" s="352" t="s">
        <v>175</v>
      </c>
    </row>
    <row r="4" spans="1:42" x14ac:dyDescent="0.3">
      <c r="A4" s="112" t="s">
        <v>197</v>
      </c>
      <c r="B4" s="114" t="s">
        <v>198</v>
      </c>
      <c r="C4" s="115"/>
      <c r="D4" s="116">
        <v>1</v>
      </c>
      <c r="E4" s="116" t="e">
        <f>AF4</f>
        <v>#VALUE!</v>
      </c>
      <c r="F4" s="116" t="e">
        <f>AG4</f>
        <v>#VALUE!</v>
      </c>
      <c r="G4" s="117" t="e">
        <f>AH4</f>
        <v>#VALUE!</v>
      </c>
      <c r="H4" s="116" t="e">
        <f>((E4*SIGN(E4))+(F4/60)+(G4/3600))*SIGN(E4)</f>
        <v>#VALUE!</v>
      </c>
      <c r="I4" s="116">
        <f>AI4</f>
        <v>0</v>
      </c>
      <c r="J4" s="116">
        <f>AJ4</f>
        <v>0</v>
      </c>
      <c r="K4" s="116">
        <f>AK4</f>
        <v>0</v>
      </c>
      <c r="L4" s="118">
        <f>((I4*SIGN(I4))+(J4/60)+(K4/3600))*SIGN(I4)</f>
        <v>0</v>
      </c>
      <c r="M4" s="118">
        <f>(SQRT($A$5^2-$B$5^2)/$A$5)</f>
        <v>8.1819191119888474E-2</v>
      </c>
      <c r="N4" s="118">
        <f>(SQRT($A$5^2-$B$5^2)/$B$5)</f>
        <v>8.2094438229770347E-2</v>
      </c>
      <c r="O4" s="118">
        <f>1+3/4*(SQRT($A$5^2-$B$5^2)/$A$5)^2+45/64*(SQRT($A$5^2-$B$5^2)/$A$5)^4+175/256*(SQRT($A$5^2-$B$5^2)/$A$5)^6+11025/16384*(SQRT($A$5^2-$B$5^2)/$A$5)^8+43659/65536*(SQRT($A$5^2-$B$5^2)/$A$5)^10</f>
        <v>1.0050525018226657</v>
      </c>
      <c r="P4" s="118">
        <f>3/4*(SQRT($A$5^2-$B$5^2)/$A$5)^2+15/16*(SQRT($A$5^2-$B$5^2)/$A$5)^4+525/512*(SQRT($A$5^2-$B$5^2)/$A$5)^6+2205/2048*(SQRT($A$5^2-$B$5^2)/$A$5)^8+72765/65536*(SQRT($A$5^2-$B$5^2)/$A$5)^10</f>
        <v>5.0631086318432056E-3</v>
      </c>
      <c r="Q4" s="118">
        <f>15/64*(SQRT($A$5^2-$B$5^2)/$A$5)^4+105/256*(SQRT($A$5^2-$B$5^2)/$A$5)^6+2205/4096*(SQRT($A$5^2-$B$5^2)/$A$5)^8+10395/16384*(SQRT($A$5^2-$B$5^2)/$A$5)^10</f>
        <v>1.0627590303618776E-5</v>
      </c>
      <c r="R4" s="118">
        <f>35/512*(SQRT($A$5^2-$B$5^2)/$A$5)^6+315/2048*(SQRT($A$5^2-$B$5^2)/$A$5)^8+31185/131072*(SQRT($A$5^2-$B$5^2)/$A$5)^10</f>
        <v>2.0820378689919501E-8</v>
      </c>
      <c r="S4" s="118">
        <f>315/16384*(SQRT($A$5^2-$B$5^2)/$A$5)^8+3465/65536*(SQRT($A$5^2-$B$5^2)/$A$5)^10</f>
        <v>3.9323714008920611E-11</v>
      </c>
      <c r="T4" s="118">
        <f>639/131072*(SQRT($A$5^2-$B$5^2)/$A$5)^10</f>
        <v>6.5545480046391586E-14</v>
      </c>
      <c r="U4" s="118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118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118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118" t="e">
        <f>0.9996*W4</f>
        <v>#VALUE!</v>
      </c>
      <c r="Y4" s="118" t="e">
        <f>((((($A$5/(SQRT(1-(($A$5^2-$B$5^2)/$A$5^2)*(SIN(RADIANS(H4)))^2)))*SIN(RADIANS(H4*SIGN(H4)))*COS(RADIANS(H4*SIGN(H4)))*(2.35044305389E-11))/2)*((0.9996*10^8))))</f>
        <v>#VALUE!</v>
      </c>
      <c r="Z4" s="118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118" t="e">
        <f>((($A$5/(SQRT(1-(($A$5^2-$B$5^2)/$A$5^2)*(SIN(RADIANS(H4)))^2)))*COS(RADIANS(H4*SIGN(H4)))*4.84813681107636E-06)*0.9996*10^4)</f>
        <v>#VALUE!</v>
      </c>
      <c r="AB4" s="118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118">
        <f>(0.0001*((L4-$B$6)*3600))*SIGN(0.0001*((L4-$B$6)*3600))</f>
        <v>0</v>
      </c>
      <c r="AD4" s="119" t="str">
        <f>IF(AL4&lt;&gt;"",IF($B$6&lt;L4,500000+((AA4*AC4)+(AB4*AC4^3)+(V4*AC4^5)),500000-((AA4*AC4)+(AB4*AC4^3)+(V4*AC4^5))),"")</f>
        <v/>
      </c>
      <c r="AE4" s="119" t="e">
        <f>IF(AM4&lt;&gt;"",
IF(H4&lt;0,10000000-(X4+(Y4*AC4^2)+(Z4*AC4^4)+(U4*AC4^6)),(X4+(Y4*AC4^2)+(Z4*AC4^4)+(U4*AC4^6))),"")</f>
        <v>#VALUE!</v>
      </c>
      <c r="AF4" s="93" t="e">
        <f>TRUNC(AL4)</f>
        <v>#VALUE!</v>
      </c>
      <c r="AG4" s="93" t="e">
        <f>INT((AF4-AL4)*60)</f>
        <v>#VALUE!</v>
      </c>
      <c r="AH4" s="120" t="e">
        <f>(((AF4-AL4)*60)-AG4)*60</f>
        <v>#VALUE!</v>
      </c>
      <c r="AI4" s="93">
        <f>TRUNC(AM4)</f>
        <v>0</v>
      </c>
      <c r="AJ4" s="93">
        <f>INT((AI4-AM4)*60)</f>
        <v>0</v>
      </c>
      <c r="AK4" s="120">
        <f>(((AI4-AM4)*60)-AJ4)*60</f>
        <v>0</v>
      </c>
      <c r="AL4" s="121" t="s">
        <v>199</v>
      </c>
      <c r="AM4" s="121">
        <v>0</v>
      </c>
      <c r="AN4">
        <v>0</v>
      </c>
    </row>
    <row r="5" spans="1:42" x14ac:dyDescent="0.3">
      <c r="A5" s="122">
        <v>6378137</v>
      </c>
      <c r="B5" s="123">
        <v>6356752.3141000001</v>
      </c>
      <c r="C5" s="124"/>
      <c r="D5" s="116">
        <v>2</v>
      </c>
      <c r="E5" s="116">
        <f t="shared" ref="E5:G28" si="0">AF5</f>
        <v>0</v>
      </c>
      <c r="F5" s="116">
        <f t="shared" si="0"/>
        <v>0</v>
      </c>
      <c r="G5" s="117">
        <f t="shared" si="0"/>
        <v>0</v>
      </c>
      <c r="H5" s="116">
        <f t="shared" ref="H5:H53" si="1">((E5*SIGN(E5))+(F5/60)+(G5/3600))*SIGN(E5)</f>
        <v>0</v>
      </c>
      <c r="I5" s="116">
        <f t="shared" ref="I5:K28" si="2">AI5</f>
        <v>0</v>
      </c>
      <c r="J5" s="116">
        <f t="shared" si="2"/>
        <v>0</v>
      </c>
      <c r="K5" s="116">
        <f t="shared" si="2"/>
        <v>0</v>
      </c>
      <c r="L5" s="116">
        <f>((I5*SIGN(I5))+(J5/60)+(K5/3600))*SIGN(I5)</f>
        <v>0</v>
      </c>
      <c r="M5" s="116">
        <f>(SQRT($A$5^2-$B$5^2)/$A$5)</f>
        <v>8.1819191119888474E-2</v>
      </c>
      <c r="N5" s="116">
        <f>(SQRT($A$5^2-$B$5^2)/$B$5)</f>
        <v>8.2094438229770347E-2</v>
      </c>
      <c r="O5" s="116">
        <f>1+3/4*(SQRT($A$5^2-$B$5^2)/$A$5)^2+45/64*(SQRT($A$5^2-$B$5^2)/$A$5)^4+175/256*(SQRT($A$5^2-$B$5^2)/$A$5)^6+11025/16384*(SQRT($A$5^2-$B$5^2)/$A$5)^8+43659/65536*(SQRT($A$5^2-$B$5^2)/$A$5)^10</f>
        <v>1.0050525018226657</v>
      </c>
      <c r="P5" s="116">
        <f>3/4*(SQRT($A$5^2-$B$5^2)/$A$5)^2+15/16*(SQRT($A$5^2-$B$5^2)/$A$5)^4+525/512*(SQRT($A$5^2-$B$5^2)/$A$5)^6+2205/2048*(SQRT($A$5^2-$B$5^2)/$A$5)^8+72765/65536*(SQRT($A$5^2-$B$5^2)/$A$5)^10</f>
        <v>5.0631086318432056E-3</v>
      </c>
      <c r="Q5" s="116">
        <f>15/64*(SQRT($A$5^2-$B$5^2)/$A$5)^4+105/256*(SQRT($A$5^2-$B$5^2)/$A$5)^6+2205/4096*(SQRT($A$5^2-$B$5^2)/$A$5)^8+10395/16384*(SQRT($A$5^2-$B$5^2)/$A$5)^10</f>
        <v>1.0627590303618776E-5</v>
      </c>
      <c r="R5" s="116">
        <f>35/512*(SQRT($A$5^2-$B$5^2)/$A$5)^6+315/2048*(SQRT($A$5^2-$B$5^2)/$A$5)^8+31185/131072*(SQRT($A$5^2-$B$5^2)/$A$5)^10</f>
        <v>2.0820378689919501E-8</v>
      </c>
      <c r="S5" s="116">
        <f>315/16384*(SQRT($A$5^2-$B$5^2)/$A$5)^8+3465/65536*(SQRT($A$5^2-$B$5^2)/$A$5)^10</f>
        <v>3.9323714008920611E-11</v>
      </c>
      <c r="T5" s="116">
        <f>639/131072*(SQRT($A$5^2-$B$5^2)/$A$5)^10</f>
        <v>6.5545480046391586E-14</v>
      </c>
      <c r="U5" s="116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0</v>
      </c>
      <c r="V5" s="116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7.249402448495651E-2</v>
      </c>
      <c r="W5" s="116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0</v>
      </c>
      <c r="X5" s="116">
        <f>0.9996*W5</f>
        <v>0</v>
      </c>
      <c r="Y5" s="116">
        <f>((((($A$5/(SQRT(1-(($A$5^2-$B$5^2)/$A$5^2)*(SIN(RADIANS(H5)))^2)))*SIN(RADIANS(H5*SIGN(H5)))*COS(RADIANS(H5*SIGN(H5)))*(2.35044305389E-11))/2)*((0.9996*10^8))))</f>
        <v>0</v>
      </c>
      <c r="Z5" s="116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0</v>
      </c>
      <c r="AA5" s="116">
        <f>((($A$5/(SQRT(1-(($A$5^2-$B$5^2)/$A$5^2)*(SIN(RADIANS(H5)))^2)))*COS(RADIANS(H5*SIGN(H5)))*4.84813681107636E-06)*0.9996*10^4)</f>
        <v>309097.11943477829</v>
      </c>
      <c r="AB5" s="116">
        <f>((1.13952694919095E-16*($A$5/(SQRT(1-(($A$5^2-$B$5^2)/$A$5^2)*(SIN(RADIANS(H5)))^2)))*(COS(RADIANS(H5*SIGN(H5)))^3/6)*(1-(TAN(RADIANS(H5*SIGN(H5))))^2+((SQRT($A$5^2-$B$5^2))/$B$5)^2*(COS(RADIANS(H5*SIGN(H5))))^2)*0.9996*10^12))</f>
        <v>121.90192067628378</v>
      </c>
      <c r="AC5" s="116">
        <f>(0.0001*((L5-$B$6)*3600))*SIGN(0.0001*((L5-$B$6)*3600))</f>
        <v>0</v>
      </c>
      <c r="AD5" s="119">
        <f t="shared" ref="AD5:AD53" si="3">IF(AL5&lt;&gt;"",IF($B$6&lt;L5,500000+((AA5*AC5)+(AB5*AC5^3)+(V5*AC5^5)),500000-((AA5*AC5)+(AB5*AC5^3)+(V5*AC5^5))),"")</f>
        <v>500000</v>
      </c>
      <c r="AE5" s="119">
        <f t="shared" ref="AE5:AE53" si="4">IF(AM5&lt;&gt;"",IF(H5&lt;0,10000000-(X5+(Y5*AC5^2)+(Z5*AC5^4)+(U5*AC5^6)),(X5+(Y5*AC5^2)+(Z5*AC5^4)+(U5*AC5^6))),"")</f>
        <v>0</v>
      </c>
      <c r="AF5" s="93">
        <f t="shared" ref="AF5:AF53" si="5">TRUNC(AL5)</f>
        <v>0</v>
      </c>
      <c r="AG5" s="93">
        <f t="shared" ref="AG5:AG53" si="6">INT((AF5-AL5)*60)</f>
        <v>0</v>
      </c>
      <c r="AH5" s="120">
        <f t="shared" ref="AH5:AH53" si="7">(((AF5-AL5)*60)-AG5)*60</f>
        <v>0</v>
      </c>
      <c r="AI5" s="93">
        <f t="shared" ref="AI5:AI53" si="8">TRUNC(AM5)</f>
        <v>0</v>
      </c>
      <c r="AJ5" s="93">
        <f t="shared" ref="AJ5:AJ53" si="9">INT((AI5-AM5)*60)</f>
        <v>0</v>
      </c>
      <c r="AK5" s="120">
        <f t="shared" ref="AK5:AK53" si="10">(((AI5-AM5)*60)-AJ5)*60</f>
        <v>0</v>
      </c>
      <c r="AL5" s="121">
        <f>AO13</f>
        <v>0</v>
      </c>
      <c r="AM5" s="121">
        <f>AP13</f>
        <v>0</v>
      </c>
    </row>
    <row r="6" spans="1:42" ht="15" thickBot="1" x14ac:dyDescent="0.35">
      <c r="A6" s="125" t="s">
        <v>200</v>
      </c>
      <c r="B6" s="126" t="b">
        <f>A16</f>
        <v>0</v>
      </c>
      <c r="C6" s="127"/>
      <c r="D6" s="116">
        <v>3</v>
      </c>
      <c r="E6" s="116">
        <f t="shared" si="0"/>
        <v>0</v>
      </c>
      <c r="F6" s="116">
        <f t="shared" si="0"/>
        <v>0</v>
      </c>
      <c r="G6" s="117">
        <f t="shared" si="0"/>
        <v>0</v>
      </c>
      <c r="H6" s="116">
        <f t="shared" si="1"/>
        <v>0</v>
      </c>
      <c r="I6" s="116">
        <f t="shared" si="2"/>
        <v>0</v>
      </c>
      <c r="J6" s="116">
        <f t="shared" si="2"/>
        <v>0</v>
      </c>
      <c r="K6" s="116">
        <f t="shared" si="2"/>
        <v>0</v>
      </c>
      <c r="L6" s="116">
        <f t="shared" ref="L6:L53" si="11">((I6*SIGN(I6))+(J6/60)+(K6/3600))*SIGN(I6)</f>
        <v>0</v>
      </c>
      <c r="M6" s="116">
        <f t="shared" ref="M6:M53" si="12">(SQRT($A$5^2-$B$5^2)/$A$5)</f>
        <v>8.1819191119888474E-2</v>
      </c>
      <c r="N6" s="116">
        <f t="shared" ref="N6:N53" si="13">(SQRT($A$5^2-$B$5^2)/$B$5)</f>
        <v>8.2094438229770347E-2</v>
      </c>
      <c r="O6" s="116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116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116">
        <f t="shared" ref="Q6:Q53" si="16">15/64*(SQRT($A$5^2-$B$5^2)/$A$5)^4+105/256*(SQRT($A$5^2-$B$5^2)/$A$5)^6+2205/4096*(SQRT($A$5^2-$B$5^2)/$A$5)^8+10395/16384*(SQRT($A$5^2-$B$5^2)/$A$5)^10</f>
        <v>1.0627590303618776E-5</v>
      </c>
      <c r="R6" s="116">
        <f t="shared" ref="R6:R53" si="17">35/512*(SQRT($A$5^2-$B$5^2)/$A$5)^6+315/2048*(SQRT($A$5^2-$B$5^2)/$A$5)^8+31185/131072*(SQRT($A$5^2-$B$5^2)/$A$5)^10</f>
        <v>2.0820378689919501E-8</v>
      </c>
      <c r="S6" s="116">
        <f t="shared" ref="S6:S53" si="18">315/16384*(SQRT($A$5^2-$B$5^2)/$A$5)^8+3465/65536*(SQRT($A$5^2-$B$5^2)/$A$5)^10</f>
        <v>3.9323714008920611E-11</v>
      </c>
      <c r="T6" s="116">
        <f t="shared" ref="T6:T53" si="19">639/131072*(SQRT($A$5^2-$B$5^2)/$A$5)^10</f>
        <v>6.5545480046391586E-14</v>
      </c>
      <c r="U6" s="116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116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116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116">
        <f t="shared" ref="X6:X53" si="23">0.9996*W6</f>
        <v>0</v>
      </c>
      <c r="Y6" s="116">
        <f t="shared" ref="Y6:Y53" si="24">((((($A$5/(SQRT(1-(($A$5^2-$B$5^2)/$A$5^2)*(SIN(RADIANS(H6)))^2)))*SIN(RADIANS(H6*SIGN(H6)))*COS(RADIANS(H6*SIGN(H6)))*(2.35044305389E-11))/2)*((0.9996*10^8))))</f>
        <v>0</v>
      </c>
      <c r="Z6" s="116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116">
        <f t="shared" ref="AA6:AA53" si="26">((($A$5/(SQRT(1-(($A$5^2-$B$5^2)/$A$5^2)*(SIN(RADIANS(H6)))^2)))*COS(RADIANS(H6*SIGN(H6)))*4.84813681107636E-06)*0.9996*10^4)</f>
        <v>309097.11943477829</v>
      </c>
      <c r="AB6" s="116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116">
        <f t="shared" ref="AC6:AC53" si="28">(0.0001*((L6-$B$6)*3600))*SIGN(0.0001*((L6-$B$6)*3600))</f>
        <v>0</v>
      </c>
      <c r="AD6" s="119" t="str">
        <f t="shared" si="3"/>
        <v/>
      </c>
      <c r="AE6" s="119" t="str">
        <f t="shared" si="4"/>
        <v/>
      </c>
      <c r="AF6" s="93">
        <f t="shared" si="5"/>
        <v>0</v>
      </c>
      <c r="AG6" s="93">
        <f t="shared" si="6"/>
        <v>0</v>
      </c>
      <c r="AH6" s="120">
        <f t="shared" si="7"/>
        <v>0</v>
      </c>
      <c r="AI6" s="93">
        <f t="shared" si="8"/>
        <v>0</v>
      </c>
      <c r="AJ6" s="93">
        <f t="shared" si="9"/>
        <v>0</v>
      </c>
      <c r="AK6" s="120">
        <f t="shared" si="10"/>
        <v>0</v>
      </c>
      <c r="AL6" s="121"/>
      <c r="AM6" s="121"/>
    </row>
    <row r="7" spans="1:42" x14ac:dyDescent="0.3">
      <c r="D7" s="116">
        <v>4</v>
      </c>
      <c r="E7" s="116">
        <f t="shared" si="0"/>
        <v>0</v>
      </c>
      <c r="F7" s="116">
        <f t="shared" si="0"/>
        <v>0</v>
      </c>
      <c r="G7" s="117">
        <f t="shared" si="0"/>
        <v>0</v>
      </c>
      <c r="H7" s="116">
        <f t="shared" si="1"/>
        <v>0</v>
      </c>
      <c r="I7" s="116">
        <f t="shared" si="2"/>
        <v>0</v>
      </c>
      <c r="J7" s="116">
        <f t="shared" si="2"/>
        <v>0</v>
      </c>
      <c r="K7" s="116">
        <f t="shared" si="2"/>
        <v>0</v>
      </c>
      <c r="L7" s="116">
        <f t="shared" si="11"/>
        <v>0</v>
      </c>
      <c r="M7" s="116">
        <f t="shared" si="12"/>
        <v>8.1819191119888474E-2</v>
      </c>
      <c r="N7" s="116">
        <f t="shared" si="13"/>
        <v>8.2094438229770347E-2</v>
      </c>
      <c r="O7" s="116">
        <f t="shared" si="14"/>
        <v>1.0050525018226657</v>
      </c>
      <c r="P7" s="116">
        <f t="shared" si="15"/>
        <v>5.0631086318432056E-3</v>
      </c>
      <c r="Q7" s="116">
        <f t="shared" si="16"/>
        <v>1.0627590303618776E-5</v>
      </c>
      <c r="R7" s="116">
        <f t="shared" si="17"/>
        <v>2.0820378689919501E-8</v>
      </c>
      <c r="S7" s="116">
        <f t="shared" si="18"/>
        <v>3.9323714008920611E-11</v>
      </c>
      <c r="T7" s="116">
        <f t="shared" si="19"/>
        <v>6.5545480046391586E-14</v>
      </c>
      <c r="U7" s="116">
        <f t="shared" si="20"/>
        <v>0</v>
      </c>
      <c r="V7" s="116">
        <f t="shared" si="21"/>
        <v>7.249402448495651E-2</v>
      </c>
      <c r="W7" s="116">
        <f t="shared" si="22"/>
        <v>0</v>
      </c>
      <c r="X7" s="116">
        <f t="shared" si="23"/>
        <v>0</v>
      </c>
      <c r="Y7" s="116">
        <f t="shared" si="24"/>
        <v>0</v>
      </c>
      <c r="Z7" s="116">
        <f t="shared" si="25"/>
        <v>0</v>
      </c>
      <c r="AA7" s="116">
        <f t="shared" si="26"/>
        <v>309097.11943477829</v>
      </c>
      <c r="AB7" s="116">
        <f t="shared" si="27"/>
        <v>121.90192067628378</v>
      </c>
      <c r="AC7" s="116">
        <f t="shared" si="28"/>
        <v>0</v>
      </c>
      <c r="AD7" s="119" t="str">
        <f t="shared" si="3"/>
        <v/>
      </c>
      <c r="AE7" s="119" t="str">
        <f t="shared" si="4"/>
        <v/>
      </c>
      <c r="AF7" s="93">
        <f t="shared" si="5"/>
        <v>0</v>
      </c>
      <c r="AG7" s="93">
        <f t="shared" si="6"/>
        <v>0</v>
      </c>
      <c r="AH7" s="120">
        <f t="shared" si="7"/>
        <v>0</v>
      </c>
      <c r="AI7" s="93">
        <f t="shared" si="8"/>
        <v>0</v>
      </c>
      <c r="AJ7" s="93">
        <f t="shared" si="9"/>
        <v>0</v>
      </c>
      <c r="AK7" s="120">
        <f t="shared" si="10"/>
        <v>0</v>
      </c>
      <c r="AL7" s="121"/>
      <c r="AM7" s="121"/>
    </row>
    <row r="8" spans="1:42" x14ac:dyDescent="0.3">
      <c r="A8" s="81"/>
      <c r="B8" t="s">
        <v>201</v>
      </c>
      <c r="D8" s="116">
        <v>5</v>
      </c>
      <c r="E8" s="116">
        <f t="shared" si="0"/>
        <v>0</v>
      </c>
      <c r="F8" s="116">
        <f t="shared" si="0"/>
        <v>0</v>
      </c>
      <c r="G8" s="117">
        <f t="shared" si="0"/>
        <v>0</v>
      </c>
      <c r="H8" s="116">
        <f t="shared" si="1"/>
        <v>0</v>
      </c>
      <c r="I8" s="116">
        <f t="shared" si="2"/>
        <v>0</v>
      </c>
      <c r="J8" s="116">
        <f t="shared" si="2"/>
        <v>0</v>
      </c>
      <c r="K8" s="116">
        <f t="shared" si="2"/>
        <v>0</v>
      </c>
      <c r="L8" s="116">
        <f t="shared" si="11"/>
        <v>0</v>
      </c>
      <c r="M8" s="116">
        <f t="shared" si="12"/>
        <v>8.1819191119888474E-2</v>
      </c>
      <c r="N8" s="116">
        <f t="shared" si="13"/>
        <v>8.2094438229770347E-2</v>
      </c>
      <c r="O8" s="116">
        <f t="shared" si="14"/>
        <v>1.0050525018226657</v>
      </c>
      <c r="P8" s="116">
        <f t="shared" si="15"/>
        <v>5.0631086318432056E-3</v>
      </c>
      <c r="Q8" s="116">
        <f t="shared" si="16"/>
        <v>1.0627590303618776E-5</v>
      </c>
      <c r="R8" s="116">
        <f t="shared" si="17"/>
        <v>2.0820378689919501E-8</v>
      </c>
      <c r="S8" s="116">
        <f t="shared" si="18"/>
        <v>3.9323714008920611E-11</v>
      </c>
      <c r="T8" s="116">
        <f t="shared" si="19"/>
        <v>6.5545480046391586E-14</v>
      </c>
      <c r="U8" s="116">
        <f t="shared" si="20"/>
        <v>0</v>
      </c>
      <c r="V8" s="116">
        <f t="shared" si="21"/>
        <v>7.249402448495651E-2</v>
      </c>
      <c r="W8" s="116">
        <f t="shared" si="22"/>
        <v>0</v>
      </c>
      <c r="X8" s="116">
        <f t="shared" si="23"/>
        <v>0</v>
      </c>
      <c r="Y8" s="116">
        <f t="shared" si="24"/>
        <v>0</v>
      </c>
      <c r="Z8" s="116">
        <f t="shared" si="25"/>
        <v>0</v>
      </c>
      <c r="AA8" s="116">
        <f t="shared" si="26"/>
        <v>309097.11943477829</v>
      </c>
      <c r="AB8" s="116">
        <f t="shared" si="27"/>
        <v>121.90192067628378</v>
      </c>
      <c r="AC8" s="116">
        <f t="shared" si="28"/>
        <v>0</v>
      </c>
      <c r="AD8" s="119" t="str">
        <f t="shared" si="3"/>
        <v/>
      </c>
      <c r="AE8" s="119" t="str">
        <f t="shared" si="4"/>
        <v/>
      </c>
      <c r="AF8" s="93">
        <f t="shared" si="5"/>
        <v>0</v>
      </c>
      <c r="AG8" s="93">
        <f t="shared" si="6"/>
        <v>0</v>
      </c>
      <c r="AH8" s="120">
        <f t="shared" si="7"/>
        <v>0</v>
      </c>
      <c r="AI8" s="93">
        <f t="shared" si="8"/>
        <v>0</v>
      </c>
      <c r="AJ8" s="93">
        <f t="shared" si="9"/>
        <v>0</v>
      </c>
      <c r="AK8" s="120">
        <f t="shared" si="10"/>
        <v>0</v>
      </c>
      <c r="AL8" s="121"/>
      <c r="AM8" s="121"/>
    </row>
    <row r="9" spans="1:42" x14ac:dyDescent="0.3">
      <c r="A9" s="128"/>
      <c r="B9" t="s">
        <v>202</v>
      </c>
      <c r="D9" s="116">
        <v>6</v>
      </c>
      <c r="E9" s="116">
        <f t="shared" si="0"/>
        <v>0</v>
      </c>
      <c r="F9" s="116">
        <f t="shared" si="0"/>
        <v>0</v>
      </c>
      <c r="G9" s="117">
        <f t="shared" si="0"/>
        <v>0</v>
      </c>
      <c r="H9" s="116">
        <f t="shared" si="1"/>
        <v>0</v>
      </c>
      <c r="I9" s="116">
        <f t="shared" si="2"/>
        <v>0</v>
      </c>
      <c r="J9" s="116">
        <f t="shared" si="2"/>
        <v>0</v>
      </c>
      <c r="K9" s="116">
        <f t="shared" si="2"/>
        <v>0</v>
      </c>
      <c r="L9" s="116">
        <f t="shared" si="11"/>
        <v>0</v>
      </c>
      <c r="M9" s="116">
        <f t="shared" si="12"/>
        <v>8.1819191119888474E-2</v>
      </c>
      <c r="N9" s="116">
        <f t="shared" si="13"/>
        <v>8.2094438229770347E-2</v>
      </c>
      <c r="O9" s="116">
        <f t="shared" si="14"/>
        <v>1.0050525018226657</v>
      </c>
      <c r="P9" s="116">
        <f t="shared" si="15"/>
        <v>5.0631086318432056E-3</v>
      </c>
      <c r="Q9" s="116">
        <f t="shared" si="16"/>
        <v>1.0627590303618776E-5</v>
      </c>
      <c r="R9" s="116">
        <f t="shared" si="17"/>
        <v>2.0820378689919501E-8</v>
      </c>
      <c r="S9" s="116">
        <f t="shared" si="18"/>
        <v>3.9323714008920611E-11</v>
      </c>
      <c r="T9" s="116">
        <f t="shared" si="19"/>
        <v>6.5545480046391586E-14</v>
      </c>
      <c r="U9" s="116">
        <f t="shared" si="20"/>
        <v>0</v>
      </c>
      <c r="V9" s="116">
        <f t="shared" si="21"/>
        <v>7.249402448495651E-2</v>
      </c>
      <c r="W9" s="116">
        <f t="shared" si="22"/>
        <v>0</v>
      </c>
      <c r="X9" s="116">
        <f t="shared" si="23"/>
        <v>0</v>
      </c>
      <c r="Y9" s="116">
        <f t="shared" si="24"/>
        <v>0</v>
      </c>
      <c r="Z9" s="116">
        <f t="shared" si="25"/>
        <v>0</v>
      </c>
      <c r="AA9" s="116">
        <f t="shared" si="26"/>
        <v>309097.11943477829</v>
      </c>
      <c r="AB9" s="116">
        <f t="shared" si="27"/>
        <v>121.90192067628378</v>
      </c>
      <c r="AC9" s="116">
        <f t="shared" si="28"/>
        <v>0</v>
      </c>
      <c r="AD9" s="119" t="str">
        <f t="shared" si="3"/>
        <v/>
      </c>
      <c r="AE9" s="119" t="str">
        <f t="shared" si="4"/>
        <v/>
      </c>
      <c r="AF9" s="93">
        <f t="shared" si="5"/>
        <v>0</v>
      </c>
      <c r="AG9" s="93">
        <f t="shared" si="6"/>
        <v>0</v>
      </c>
      <c r="AH9" s="120">
        <f t="shared" si="7"/>
        <v>0</v>
      </c>
      <c r="AI9" s="93">
        <f t="shared" si="8"/>
        <v>0</v>
      </c>
      <c r="AJ9" s="93">
        <f t="shared" si="9"/>
        <v>0</v>
      </c>
      <c r="AK9" s="120">
        <f t="shared" si="10"/>
        <v>0</v>
      </c>
      <c r="AL9" s="121"/>
      <c r="AM9" s="121"/>
    </row>
    <row r="10" spans="1:42" x14ac:dyDescent="0.3">
      <c r="D10" s="116">
        <v>7</v>
      </c>
      <c r="E10" s="116">
        <f t="shared" si="0"/>
        <v>0</v>
      </c>
      <c r="F10" s="116">
        <f t="shared" si="0"/>
        <v>0</v>
      </c>
      <c r="G10" s="117">
        <f t="shared" si="0"/>
        <v>0</v>
      </c>
      <c r="H10" s="116">
        <f t="shared" si="1"/>
        <v>0</v>
      </c>
      <c r="I10" s="116">
        <f t="shared" si="2"/>
        <v>0</v>
      </c>
      <c r="J10" s="116">
        <f t="shared" si="2"/>
        <v>0</v>
      </c>
      <c r="K10" s="116">
        <f t="shared" si="2"/>
        <v>0</v>
      </c>
      <c r="L10" s="116">
        <f t="shared" si="11"/>
        <v>0</v>
      </c>
      <c r="M10" s="116">
        <f t="shared" si="12"/>
        <v>8.1819191119888474E-2</v>
      </c>
      <c r="N10" s="116">
        <f t="shared" si="13"/>
        <v>8.2094438229770347E-2</v>
      </c>
      <c r="O10" s="116">
        <f t="shared" si="14"/>
        <v>1.0050525018226657</v>
      </c>
      <c r="P10" s="116">
        <f t="shared" si="15"/>
        <v>5.0631086318432056E-3</v>
      </c>
      <c r="Q10" s="116">
        <f t="shared" si="16"/>
        <v>1.0627590303618776E-5</v>
      </c>
      <c r="R10" s="116">
        <f t="shared" si="17"/>
        <v>2.0820378689919501E-8</v>
      </c>
      <c r="S10" s="116">
        <f t="shared" si="18"/>
        <v>3.9323714008920611E-11</v>
      </c>
      <c r="T10" s="116">
        <f t="shared" si="19"/>
        <v>6.5545480046391586E-14</v>
      </c>
      <c r="U10" s="116">
        <f t="shared" si="20"/>
        <v>0</v>
      </c>
      <c r="V10" s="116">
        <f t="shared" si="21"/>
        <v>7.249402448495651E-2</v>
      </c>
      <c r="W10" s="116">
        <f t="shared" si="22"/>
        <v>0</v>
      </c>
      <c r="X10" s="116">
        <f t="shared" si="23"/>
        <v>0</v>
      </c>
      <c r="Y10" s="116">
        <f t="shared" si="24"/>
        <v>0</v>
      </c>
      <c r="Z10" s="116">
        <f t="shared" si="25"/>
        <v>0</v>
      </c>
      <c r="AA10" s="116">
        <f t="shared" si="26"/>
        <v>309097.11943477829</v>
      </c>
      <c r="AB10" s="116">
        <f t="shared" si="27"/>
        <v>121.90192067628378</v>
      </c>
      <c r="AC10" s="116">
        <f t="shared" si="28"/>
        <v>0</v>
      </c>
      <c r="AD10" s="119" t="str">
        <f t="shared" si="3"/>
        <v/>
      </c>
      <c r="AE10" s="119" t="str">
        <f t="shared" si="4"/>
        <v/>
      </c>
      <c r="AF10" s="93">
        <f t="shared" si="5"/>
        <v>0</v>
      </c>
      <c r="AG10" s="93">
        <f t="shared" si="6"/>
        <v>0</v>
      </c>
      <c r="AH10" s="120">
        <f t="shared" si="7"/>
        <v>0</v>
      </c>
      <c r="AI10" s="93">
        <f t="shared" si="8"/>
        <v>0</v>
      </c>
      <c r="AJ10" s="93">
        <f t="shared" si="9"/>
        <v>0</v>
      </c>
      <c r="AK10" s="120">
        <f t="shared" si="10"/>
        <v>0</v>
      </c>
      <c r="AL10" s="121"/>
      <c r="AM10" s="121"/>
    </row>
    <row r="11" spans="1:42" x14ac:dyDescent="0.3">
      <c r="D11" s="116">
        <v>8</v>
      </c>
      <c r="E11" s="116">
        <f t="shared" si="0"/>
        <v>0</v>
      </c>
      <c r="F11" s="116">
        <f t="shared" si="0"/>
        <v>0</v>
      </c>
      <c r="G11" s="117">
        <f t="shared" si="0"/>
        <v>0</v>
      </c>
      <c r="H11" s="116">
        <f t="shared" si="1"/>
        <v>0</v>
      </c>
      <c r="I11" s="116">
        <f t="shared" si="2"/>
        <v>0</v>
      </c>
      <c r="J11" s="116">
        <f t="shared" si="2"/>
        <v>0</v>
      </c>
      <c r="K11" s="116">
        <f t="shared" si="2"/>
        <v>0</v>
      </c>
      <c r="L11" s="116">
        <f t="shared" si="11"/>
        <v>0</v>
      </c>
      <c r="M11" s="116">
        <f t="shared" si="12"/>
        <v>8.1819191119888474E-2</v>
      </c>
      <c r="N11" s="116">
        <f t="shared" si="13"/>
        <v>8.2094438229770347E-2</v>
      </c>
      <c r="O11" s="116">
        <f t="shared" si="14"/>
        <v>1.0050525018226657</v>
      </c>
      <c r="P11" s="116">
        <f t="shared" si="15"/>
        <v>5.0631086318432056E-3</v>
      </c>
      <c r="Q11" s="116">
        <f t="shared" si="16"/>
        <v>1.0627590303618776E-5</v>
      </c>
      <c r="R11" s="116">
        <f t="shared" si="17"/>
        <v>2.0820378689919501E-8</v>
      </c>
      <c r="S11" s="116">
        <f t="shared" si="18"/>
        <v>3.9323714008920611E-11</v>
      </c>
      <c r="T11" s="116">
        <f t="shared" si="19"/>
        <v>6.5545480046391586E-14</v>
      </c>
      <c r="U11" s="116">
        <f t="shared" si="20"/>
        <v>0</v>
      </c>
      <c r="V11" s="116">
        <f t="shared" si="21"/>
        <v>7.249402448495651E-2</v>
      </c>
      <c r="W11" s="116">
        <f t="shared" si="22"/>
        <v>0</v>
      </c>
      <c r="X11" s="116">
        <f t="shared" si="23"/>
        <v>0</v>
      </c>
      <c r="Y11" s="116">
        <f t="shared" si="24"/>
        <v>0</v>
      </c>
      <c r="Z11" s="116">
        <f t="shared" si="25"/>
        <v>0</v>
      </c>
      <c r="AA11" s="116">
        <f t="shared" si="26"/>
        <v>309097.11943477829</v>
      </c>
      <c r="AB11" s="116">
        <f t="shared" si="27"/>
        <v>121.90192067628378</v>
      </c>
      <c r="AC11" s="116">
        <f t="shared" si="28"/>
        <v>0</v>
      </c>
      <c r="AD11" s="119" t="str">
        <f t="shared" si="3"/>
        <v/>
      </c>
      <c r="AE11" s="119" t="str">
        <f t="shared" si="4"/>
        <v/>
      </c>
      <c r="AF11" s="93">
        <f t="shared" si="5"/>
        <v>0</v>
      </c>
      <c r="AG11" s="93">
        <f t="shared" si="6"/>
        <v>0</v>
      </c>
      <c r="AH11" s="120">
        <f t="shared" si="7"/>
        <v>0</v>
      </c>
      <c r="AI11" s="93">
        <f t="shared" si="8"/>
        <v>0</v>
      </c>
      <c r="AJ11" s="93">
        <f t="shared" si="9"/>
        <v>0</v>
      </c>
      <c r="AK11" s="120">
        <f t="shared" si="10"/>
        <v>0</v>
      </c>
      <c r="AL11" s="121"/>
      <c r="AM11" s="121"/>
    </row>
    <row r="12" spans="1:42" x14ac:dyDescent="0.3">
      <c r="A12" s="187">
        <f>'Formulário MT'!AG61</f>
        <v>0</v>
      </c>
      <c r="B12" s="354" t="s">
        <v>203</v>
      </c>
      <c r="D12" s="116">
        <v>9</v>
      </c>
      <c r="E12" s="116">
        <f t="shared" si="0"/>
        <v>0</v>
      </c>
      <c r="F12" s="116">
        <f t="shared" si="0"/>
        <v>0</v>
      </c>
      <c r="G12" s="117">
        <f t="shared" si="0"/>
        <v>0</v>
      </c>
      <c r="H12" s="116">
        <f t="shared" si="1"/>
        <v>0</v>
      </c>
      <c r="I12" s="116">
        <f t="shared" si="2"/>
        <v>0</v>
      </c>
      <c r="J12" s="116">
        <f t="shared" si="2"/>
        <v>0</v>
      </c>
      <c r="K12" s="116">
        <f t="shared" si="2"/>
        <v>0</v>
      </c>
      <c r="L12" s="116">
        <f t="shared" si="11"/>
        <v>0</v>
      </c>
      <c r="M12" s="116">
        <f t="shared" si="12"/>
        <v>8.1819191119888474E-2</v>
      </c>
      <c r="N12" s="116">
        <f t="shared" si="13"/>
        <v>8.2094438229770347E-2</v>
      </c>
      <c r="O12" s="116">
        <f t="shared" si="14"/>
        <v>1.0050525018226657</v>
      </c>
      <c r="P12" s="116">
        <f t="shared" si="15"/>
        <v>5.0631086318432056E-3</v>
      </c>
      <c r="Q12" s="116">
        <f t="shared" si="16"/>
        <v>1.0627590303618776E-5</v>
      </c>
      <c r="R12" s="116">
        <f t="shared" si="17"/>
        <v>2.0820378689919501E-8</v>
      </c>
      <c r="S12" s="116">
        <f t="shared" si="18"/>
        <v>3.9323714008920611E-11</v>
      </c>
      <c r="T12" s="116">
        <f t="shared" si="19"/>
        <v>6.5545480046391586E-14</v>
      </c>
      <c r="U12" s="116">
        <f t="shared" si="20"/>
        <v>0</v>
      </c>
      <c r="V12" s="116">
        <f t="shared" si="21"/>
        <v>7.249402448495651E-2</v>
      </c>
      <c r="W12" s="116">
        <f t="shared" si="22"/>
        <v>0</v>
      </c>
      <c r="X12" s="116">
        <f t="shared" si="23"/>
        <v>0</v>
      </c>
      <c r="Y12" s="116">
        <f t="shared" si="24"/>
        <v>0</v>
      </c>
      <c r="Z12" s="116">
        <f t="shared" si="25"/>
        <v>0</v>
      </c>
      <c r="AA12" s="116">
        <f t="shared" si="26"/>
        <v>309097.11943477829</v>
      </c>
      <c r="AB12" s="116">
        <f t="shared" si="27"/>
        <v>121.90192067628378</v>
      </c>
      <c r="AC12" s="116">
        <f t="shared" si="28"/>
        <v>0</v>
      </c>
      <c r="AD12" s="119" t="str">
        <f t="shared" si="3"/>
        <v/>
      </c>
      <c r="AE12" s="119" t="str">
        <f t="shared" si="4"/>
        <v/>
      </c>
      <c r="AF12" s="93">
        <f t="shared" si="5"/>
        <v>0</v>
      </c>
      <c r="AG12" s="93">
        <f t="shared" si="6"/>
        <v>0</v>
      </c>
      <c r="AH12" s="120">
        <f t="shared" si="7"/>
        <v>0</v>
      </c>
      <c r="AI12" s="93">
        <f t="shared" si="8"/>
        <v>0</v>
      </c>
      <c r="AJ12" s="93">
        <f t="shared" si="9"/>
        <v>0</v>
      </c>
      <c r="AK12" s="120">
        <f t="shared" si="10"/>
        <v>0</v>
      </c>
      <c r="AL12" s="121"/>
      <c r="AM12" s="121"/>
    </row>
    <row r="13" spans="1:42" x14ac:dyDescent="0.3">
      <c r="D13" s="116">
        <v>10</v>
      </c>
      <c r="E13" s="116">
        <f t="shared" si="0"/>
        <v>0</v>
      </c>
      <c r="F13" s="116">
        <f t="shared" si="0"/>
        <v>0</v>
      </c>
      <c r="G13" s="117">
        <f t="shared" si="0"/>
        <v>0</v>
      </c>
      <c r="H13" s="116">
        <f t="shared" si="1"/>
        <v>0</v>
      </c>
      <c r="I13" s="116">
        <f t="shared" si="2"/>
        <v>0</v>
      </c>
      <c r="J13" s="116">
        <f t="shared" si="2"/>
        <v>0</v>
      </c>
      <c r="K13" s="116">
        <f t="shared" si="2"/>
        <v>0</v>
      </c>
      <c r="L13" s="116">
        <f t="shared" si="11"/>
        <v>0</v>
      </c>
      <c r="M13" s="116">
        <f t="shared" si="12"/>
        <v>8.1819191119888474E-2</v>
      </c>
      <c r="N13" s="116">
        <f t="shared" si="13"/>
        <v>8.2094438229770347E-2</v>
      </c>
      <c r="O13" s="116">
        <f t="shared" si="14"/>
        <v>1.0050525018226657</v>
      </c>
      <c r="P13" s="116">
        <f t="shared" si="15"/>
        <v>5.0631086318432056E-3</v>
      </c>
      <c r="Q13" s="116">
        <f t="shared" si="16"/>
        <v>1.0627590303618776E-5</v>
      </c>
      <c r="R13" s="116">
        <f t="shared" si="17"/>
        <v>2.0820378689919501E-8</v>
      </c>
      <c r="S13" s="116">
        <f t="shared" si="18"/>
        <v>3.9323714008920611E-11</v>
      </c>
      <c r="T13" s="116">
        <f t="shared" si="19"/>
        <v>6.5545480046391586E-14</v>
      </c>
      <c r="U13" s="116">
        <f t="shared" si="20"/>
        <v>0</v>
      </c>
      <c r="V13" s="116">
        <f t="shared" si="21"/>
        <v>7.249402448495651E-2</v>
      </c>
      <c r="W13" s="116">
        <f t="shared" si="22"/>
        <v>0</v>
      </c>
      <c r="X13" s="116">
        <f t="shared" si="23"/>
        <v>0</v>
      </c>
      <c r="Y13" s="116">
        <f t="shared" si="24"/>
        <v>0</v>
      </c>
      <c r="Z13" s="116">
        <f t="shared" si="25"/>
        <v>0</v>
      </c>
      <c r="AA13" s="116">
        <f t="shared" si="26"/>
        <v>309097.11943477829</v>
      </c>
      <c r="AB13" s="116">
        <f t="shared" si="27"/>
        <v>121.90192067628378</v>
      </c>
      <c r="AC13" s="116">
        <f t="shared" si="28"/>
        <v>0</v>
      </c>
      <c r="AD13" s="119" t="str">
        <f t="shared" si="3"/>
        <v/>
      </c>
      <c r="AE13" s="119" t="str">
        <f t="shared" si="4"/>
        <v/>
      </c>
      <c r="AF13" s="93">
        <f t="shared" si="5"/>
        <v>0</v>
      </c>
      <c r="AG13" s="93">
        <f t="shared" si="6"/>
        <v>0</v>
      </c>
      <c r="AH13" s="120">
        <f t="shared" si="7"/>
        <v>0</v>
      </c>
      <c r="AI13" s="93">
        <f t="shared" si="8"/>
        <v>0</v>
      </c>
      <c r="AJ13" s="93">
        <f t="shared" si="9"/>
        <v>0</v>
      </c>
      <c r="AK13" s="120">
        <f t="shared" si="10"/>
        <v>0</v>
      </c>
      <c r="AL13" s="121"/>
      <c r="AM13" s="121"/>
      <c r="AO13">
        <f>IF('Formulário MT'!AD34="Conexão Nova",'Formulário MT'!AP61,
IF('Formulário MT'!AD34&lt;&gt;"Conexão Nova",'Formulário MT'!AP62))</f>
        <v>0</v>
      </c>
      <c r="AP13">
        <f>IF('Formulário MT'!AD34="Conexão Nova",'Formulário MT'!BC61,
IF('Formulário MT'!AD34&lt;&gt;"Conexão Nova",'Formulário MT'!BC62))</f>
        <v>0</v>
      </c>
    </row>
    <row r="14" spans="1:42" x14ac:dyDescent="0.3">
      <c r="A14" s="81" t="b">
        <f>IF(A12="23°",-45,
IF(A12="22°",-51,
IF(A12="24°",-39)))</f>
        <v>0</v>
      </c>
      <c r="B14" s="354" t="s">
        <v>204</v>
      </c>
      <c r="D14" s="116">
        <v>11</v>
      </c>
      <c r="E14" s="116">
        <f t="shared" si="0"/>
        <v>0</v>
      </c>
      <c r="F14" s="116">
        <f t="shared" si="0"/>
        <v>0</v>
      </c>
      <c r="G14" s="117">
        <f t="shared" si="0"/>
        <v>0</v>
      </c>
      <c r="H14" s="116">
        <f t="shared" si="1"/>
        <v>0</v>
      </c>
      <c r="I14" s="116">
        <f t="shared" si="2"/>
        <v>0</v>
      </c>
      <c r="J14" s="116">
        <f t="shared" si="2"/>
        <v>0</v>
      </c>
      <c r="K14" s="116">
        <f t="shared" si="2"/>
        <v>0</v>
      </c>
      <c r="L14" s="116">
        <f t="shared" si="11"/>
        <v>0</v>
      </c>
      <c r="M14" s="116">
        <f t="shared" si="12"/>
        <v>8.1819191119888474E-2</v>
      </c>
      <c r="N14" s="116">
        <f t="shared" si="13"/>
        <v>8.2094438229770347E-2</v>
      </c>
      <c r="O14" s="116">
        <f t="shared" si="14"/>
        <v>1.0050525018226657</v>
      </c>
      <c r="P14" s="116">
        <f t="shared" si="15"/>
        <v>5.0631086318432056E-3</v>
      </c>
      <c r="Q14" s="116">
        <f t="shared" si="16"/>
        <v>1.0627590303618776E-5</v>
      </c>
      <c r="R14" s="116">
        <f t="shared" si="17"/>
        <v>2.0820378689919501E-8</v>
      </c>
      <c r="S14" s="116">
        <f t="shared" si="18"/>
        <v>3.9323714008920611E-11</v>
      </c>
      <c r="T14" s="116">
        <f t="shared" si="19"/>
        <v>6.5545480046391586E-14</v>
      </c>
      <c r="U14" s="116">
        <f t="shared" si="20"/>
        <v>0</v>
      </c>
      <c r="V14" s="116">
        <f t="shared" si="21"/>
        <v>7.249402448495651E-2</v>
      </c>
      <c r="W14" s="116">
        <f t="shared" si="22"/>
        <v>0</v>
      </c>
      <c r="X14" s="116">
        <f t="shared" si="23"/>
        <v>0</v>
      </c>
      <c r="Y14" s="116">
        <f t="shared" si="24"/>
        <v>0</v>
      </c>
      <c r="Z14" s="116">
        <f t="shared" si="25"/>
        <v>0</v>
      </c>
      <c r="AA14" s="116">
        <f t="shared" si="26"/>
        <v>309097.11943477829</v>
      </c>
      <c r="AB14" s="116">
        <f t="shared" si="27"/>
        <v>121.90192067628378</v>
      </c>
      <c r="AC14" s="116">
        <f t="shared" si="28"/>
        <v>0</v>
      </c>
      <c r="AD14" s="119" t="str">
        <f t="shared" si="3"/>
        <v/>
      </c>
      <c r="AE14" s="119" t="str">
        <f t="shared" si="4"/>
        <v/>
      </c>
      <c r="AF14" s="93">
        <f t="shared" si="5"/>
        <v>0</v>
      </c>
      <c r="AG14" s="93">
        <f t="shared" si="6"/>
        <v>0</v>
      </c>
      <c r="AH14" s="120">
        <f t="shared" si="7"/>
        <v>0</v>
      </c>
      <c r="AI14" s="93">
        <f t="shared" si="8"/>
        <v>0</v>
      </c>
      <c r="AJ14" s="93">
        <f t="shared" si="9"/>
        <v>0</v>
      </c>
      <c r="AK14" s="120">
        <f t="shared" si="10"/>
        <v>0</v>
      </c>
      <c r="AL14" s="121"/>
      <c r="AM14" s="121"/>
    </row>
    <row r="15" spans="1:42" x14ac:dyDescent="0.3">
      <c r="D15" s="116">
        <v>12</v>
      </c>
      <c r="E15" s="116">
        <f t="shared" si="0"/>
        <v>0</v>
      </c>
      <c r="F15" s="116">
        <f t="shared" si="0"/>
        <v>0</v>
      </c>
      <c r="G15" s="117">
        <f t="shared" si="0"/>
        <v>0</v>
      </c>
      <c r="H15" s="116">
        <f t="shared" si="1"/>
        <v>0</v>
      </c>
      <c r="I15" s="116">
        <f t="shared" si="2"/>
        <v>0</v>
      </c>
      <c r="J15" s="116">
        <f t="shared" si="2"/>
        <v>0</v>
      </c>
      <c r="K15" s="116">
        <f t="shared" si="2"/>
        <v>0</v>
      </c>
      <c r="L15" s="116">
        <f t="shared" si="11"/>
        <v>0</v>
      </c>
      <c r="M15" s="116">
        <f t="shared" si="12"/>
        <v>8.1819191119888474E-2</v>
      </c>
      <c r="N15" s="116">
        <f t="shared" si="13"/>
        <v>8.2094438229770347E-2</v>
      </c>
      <c r="O15" s="116">
        <f t="shared" si="14"/>
        <v>1.0050525018226657</v>
      </c>
      <c r="P15" s="116">
        <f t="shared" si="15"/>
        <v>5.0631086318432056E-3</v>
      </c>
      <c r="Q15" s="116">
        <f t="shared" si="16"/>
        <v>1.0627590303618776E-5</v>
      </c>
      <c r="R15" s="116">
        <f t="shared" si="17"/>
        <v>2.0820378689919501E-8</v>
      </c>
      <c r="S15" s="116">
        <f t="shared" si="18"/>
        <v>3.9323714008920611E-11</v>
      </c>
      <c r="T15" s="116">
        <f t="shared" si="19"/>
        <v>6.5545480046391586E-14</v>
      </c>
      <c r="U15" s="116">
        <f t="shared" si="20"/>
        <v>0</v>
      </c>
      <c r="V15" s="116">
        <f t="shared" si="21"/>
        <v>7.249402448495651E-2</v>
      </c>
      <c r="W15" s="116">
        <f t="shared" si="22"/>
        <v>0</v>
      </c>
      <c r="X15" s="116">
        <f t="shared" si="23"/>
        <v>0</v>
      </c>
      <c r="Y15" s="116">
        <f t="shared" si="24"/>
        <v>0</v>
      </c>
      <c r="Z15" s="116">
        <f t="shared" si="25"/>
        <v>0</v>
      </c>
      <c r="AA15" s="116">
        <f t="shared" si="26"/>
        <v>309097.11943477829</v>
      </c>
      <c r="AB15" s="116">
        <f t="shared" si="27"/>
        <v>121.90192067628378</v>
      </c>
      <c r="AC15" s="116">
        <f t="shared" si="28"/>
        <v>0</v>
      </c>
      <c r="AD15" s="119" t="str">
        <f t="shared" si="3"/>
        <v/>
      </c>
      <c r="AE15" s="119" t="str">
        <f t="shared" si="4"/>
        <v/>
      </c>
      <c r="AF15" s="93">
        <f t="shared" si="5"/>
        <v>0</v>
      </c>
      <c r="AG15" s="93">
        <f t="shared" si="6"/>
        <v>0</v>
      </c>
      <c r="AH15" s="120">
        <f t="shared" si="7"/>
        <v>0</v>
      </c>
      <c r="AI15" s="93">
        <f t="shared" si="8"/>
        <v>0</v>
      </c>
      <c r="AJ15" s="93">
        <f t="shared" si="9"/>
        <v>0</v>
      </c>
      <c r="AK15" s="120">
        <f t="shared" si="10"/>
        <v>0</v>
      </c>
      <c r="AL15" s="121"/>
      <c r="AM15" s="121"/>
    </row>
    <row r="16" spans="1:42" x14ac:dyDescent="0.3">
      <c r="A16" s="130" t="b">
        <f>A14</f>
        <v>0</v>
      </c>
      <c r="B16" t="s">
        <v>205</v>
      </c>
      <c r="D16" s="116">
        <v>13</v>
      </c>
      <c r="E16" s="116">
        <f t="shared" si="0"/>
        <v>0</v>
      </c>
      <c r="F16" s="116">
        <f t="shared" si="0"/>
        <v>0</v>
      </c>
      <c r="G16" s="117">
        <f t="shared" si="0"/>
        <v>0</v>
      </c>
      <c r="H16" s="116">
        <f t="shared" si="1"/>
        <v>0</v>
      </c>
      <c r="I16" s="116">
        <f t="shared" si="2"/>
        <v>0</v>
      </c>
      <c r="J16" s="116">
        <f t="shared" si="2"/>
        <v>0</v>
      </c>
      <c r="K16" s="116">
        <f t="shared" si="2"/>
        <v>0</v>
      </c>
      <c r="L16" s="116">
        <f t="shared" si="11"/>
        <v>0</v>
      </c>
      <c r="M16" s="116">
        <f t="shared" si="12"/>
        <v>8.1819191119888474E-2</v>
      </c>
      <c r="N16" s="116">
        <f t="shared" si="13"/>
        <v>8.2094438229770347E-2</v>
      </c>
      <c r="O16" s="116">
        <f t="shared" si="14"/>
        <v>1.0050525018226657</v>
      </c>
      <c r="P16" s="116">
        <f t="shared" si="15"/>
        <v>5.0631086318432056E-3</v>
      </c>
      <c r="Q16" s="116">
        <f t="shared" si="16"/>
        <v>1.0627590303618776E-5</v>
      </c>
      <c r="R16" s="116">
        <f t="shared" si="17"/>
        <v>2.0820378689919501E-8</v>
      </c>
      <c r="S16" s="116">
        <f t="shared" si="18"/>
        <v>3.9323714008920611E-11</v>
      </c>
      <c r="T16" s="116">
        <f t="shared" si="19"/>
        <v>6.5545480046391586E-14</v>
      </c>
      <c r="U16" s="116">
        <f t="shared" si="20"/>
        <v>0</v>
      </c>
      <c r="V16" s="116">
        <f t="shared" si="21"/>
        <v>7.249402448495651E-2</v>
      </c>
      <c r="W16" s="116">
        <f t="shared" si="22"/>
        <v>0</v>
      </c>
      <c r="X16" s="116">
        <f t="shared" si="23"/>
        <v>0</v>
      </c>
      <c r="Y16" s="116">
        <f t="shared" si="24"/>
        <v>0</v>
      </c>
      <c r="Z16" s="116">
        <f t="shared" si="25"/>
        <v>0</v>
      </c>
      <c r="AA16" s="116">
        <f t="shared" si="26"/>
        <v>309097.11943477829</v>
      </c>
      <c r="AB16" s="116">
        <f t="shared" si="27"/>
        <v>121.90192067628378</v>
      </c>
      <c r="AC16" s="116">
        <f t="shared" si="28"/>
        <v>0</v>
      </c>
      <c r="AD16" s="119" t="str">
        <f t="shared" si="3"/>
        <v/>
      </c>
      <c r="AE16" s="119" t="str">
        <f t="shared" si="4"/>
        <v/>
      </c>
      <c r="AF16" s="93">
        <f t="shared" si="5"/>
        <v>0</v>
      </c>
      <c r="AG16" s="93">
        <f t="shared" si="6"/>
        <v>0</v>
      </c>
      <c r="AH16" s="120">
        <f t="shared" si="7"/>
        <v>0</v>
      </c>
      <c r="AI16" s="93">
        <f t="shared" si="8"/>
        <v>0</v>
      </c>
      <c r="AJ16" s="93">
        <f t="shared" si="9"/>
        <v>0</v>
      </c>
      <c r="AK16" s="120">
        <f t="shared" si="10"/>
        <v>0</v>
      </c>
      <c r="AL16" s="121"/>
      <c r="AM16" s="121"/>
    </row>
    <row r="17" spans="4:39" x14ac:dyDescent="0.3">
      <c r="D17" s="116">
        <v>14</v>
      </c>
      <c r="E17" s="116">
        <f t="shared" si="0"/>
        <v>0</v>
      </c>
      <c r="F17" s="116">
        <f t="shared" si="0"/>
        <v>0</v>
      </c>
      <c r="G17" s="117">
        <f t="shared" si="0"/>
        <v>0</v>
      </c>
      <c r="H17" s="116">
        <f t="shared" si="1"/>
        <v>0</v>
      </c>
      <c r="I17" s="116">
        <f t="shared" si="2"/>
        <v>0</v>
      </c>
      <c r="J17" s="116">
        <f t="shared" si="2"/>
        <v>0</v>
      </c>
      <c r="K17" s="116">
        <f t="shared" si="2"/>
        <v>0</v>
      </c>
      <c r="L17" s="116">
        <f t="shared" si="11"/>
        <v>0</v>
      </c>
      <c r="M17" s="116">
        <f t="shared" si="12"/>
        <v>8.1819191119888474E-2</v>
      </c>
      <c r="N17" s="116">
        <f t="shared" si="13"/>
        <v>8.2094438229770347E-2</v>
      </c>
      <c r="O17" s="116">
        <f t="shared" si="14"/>
        <v>1.0050525018226657</v>
      </c>
      <c r="P17" s="116">
        <f t="shared" si="15"/>
        <v>5.0631086318432056E-3</v>
      </c>
      <c r="Q17" s="116">
        <f t="shared" si="16"/>
        <v>1.0627590303618776E-5</v>
      </c>
      <c r="R17" s="116">
        <f t="shared" si="17"/>
        <v>2.0820378689919501E-8</v>
      </c>
      <c r="S17" s="116">
        <f t="shared" si="18"/>
        <v>3.9323714008920611E-11</v>
      </c>
      <c r="T17" s="116">
        <f t="shared" si="19"/>
        <v>6.5545480046391586E-14</v>
      </c>
      <c r="U17" s="116">
        <f t="shared" si="20"/>
        <v>0</v>
      </c>
      <c r="V17" s="116">
        <f t="shared" si="21"/>
        <v>7.249402448495651E-2</v>
      </c>
      <c r="W17" s="116">
        <f t="shared" si="22"/>
        <v>0</v>
      </c>
      <c r="X17" s="116">
        <f t="shared" si="23"/>
        <v>0</v>
      </c>
      <c r="Y17" s="116">
        <f t="shared" si="24"/>
        <v>0</v>
      </c>
      <c r="Z17" s="116">
        <f t="shared" si="25"/>
        <v>0</v>
      </c>
      <c r="AA17" s="116">
        <f t="shared" si="26"/>
        <v>309097.11943477829</v>
      </c>
      <c r="AB17" s="116">
        <f t="shared" si="27"/>
        <v>121.90192067628378</v>
      </c>
      <c r="AC17" s="116">
        <f t="shared" si="28"/>
        <v>0</v>
      </c>
      <c r="AD17" s="119" t="str">
        <f t="shared" si="3"/>
        <v/>
      </c>
      <c r="AE17" s="119" t="str">
        <f t="shared" si="4"/>
        <v/>
      </c>
      <c r="AF17" s="93">
        <f t="shared" si="5"/>
        <v>0</v>
      </c>
      <c r="AG17" s="93">
        <f t="shared" si="6"/>
        <v>0</v>
      </c>
      <c r="AH17" s="120">
        <f t="shared" si="7"/>
        <v>0</v>
      </c>
      <c r="AI17" s="93">
        <f t="shared" si="8"/>
        <v>0</v>
      </c>
      <c r="AJ17" s="93">
        <f t="shared" si="9"/>
        <v>0</v>
      </c>
      <c r="AK17" s="120">
        <f t="shared" si="10"/>
        <v>0</v>
      </c>
      <c r="AL17" s="121"/>
      <c r="AM17" s="121"/>
    </row>
    <row r="18" spans="4:39" x14ac:dyDescent="0.3">
      <c r="D18" s="116">
        <v>15</v>
      </c>
      <c r="E18" s="116">
        <f t="shared" si="0"/>
        <v>0</v>
      </c>
      <c r="F18" s="116">
        <f t="shared" si="0"/>
        <v>0</v>
      </c>
      <c r="G18" s="117">
        <f t="shared" si="0"/>
        <v>0</v>
      </c>
      <c r="H18" s="116">
        <f t="shared" si="1"/>
        <v>0</v>
      </c>
      <c r="I18" s="116">
        <f t="shared" si="2"/>
        <v>0</v>
      </c>
      <c r="J18" s="116">
        <f t="shared" si="2"/>
        <v>0</v>
      </c>
      <c r="K18" s="116">
        <f t="shared" si="2"/>
        <v>0</v>
      </c>
      <c r="L18" s="116">
        <f t="shared" si="11"/>
        <v>0</v>
      </c>
      <c r="M18" s="116">
        <f t="shared" si="12"/>
        <v>8.1819191119888474E-2</v>
      </c>
      <c r="N18" s="116">
        <f t="shared" si="13"/>
        <v>8.2094438229770347E-2</v>
      </c>
      <c r="O18" s="116">
        <f t="shared" si="14"/>
        <v>1.0050525018226657</v>
      </c>
      <c r="P18" s="116">
        <f t="shared" si="15"/>
        <v>5.0631086318432056E-3</v>
      </c>
      <c r="Q18" s="116">
        <f t="shared" si="16"/>
        <v>1.0627590303618776E-5</v>
      </c>
      <c r="R18" s="116">
        <f t="shared" si="17"/>
        <v>2.0820378689919501E-8</v>
      </c>
      <c r="S18" s="116">
        <f t="shared" si="18"/>
        <v>3.9323714008920611E-11</v>
      </c>
      <c r="T18" s="116">
        <f t="shared" si="19"/>
        <v>6.5545480046391586E-14</v>
      </c>
      <c r="U18" s="116">
        <f t="shared" si="20"/>
        <v>0</v>
      </c>
      <c r="V18" s="116">
        <f t="shared" si="21"/>
        <v>7.249402448495651E-2</v>
      </c>
      <c r="W18" s="116">
        <f t="shared" si="22"/>
        <v>0</v>
      </c>
      <c r="X18" s="116">
        <f t="shared" si="23"/>
        <v>0</v>
      </c>
      <c r="Y18" s="116">
        <f t="shared" si="24"/>
        <v>0</v>
      </c>
      <c r="Z18" s="116">
        <f t="shared" si="25"/>
        <v>0</v>
      </c>
      <c r="AA18" s="116">
        <f t="shared" si="26"/>
        <v>309097.11943477829</v>
      </c>
      <c r="AB18" s="116">
        <f t="shared" si="27"/>
        <v>121.90192067628378</v>
      </c>
      <c r="AC18" s="116">
        <f t="shared" si="28"/>
        <v>0</v>
      </c>
      <c r="AD18" s="119" t="str">
        <f t="shared" si="3"/>
        <v/>
      </c>
      <c r="AE18" s="119" t="str">
        <f t="shared" si="4"/>
        <v/>
      </c>
      <c r="AF18" s="93">
        <f t="shared" si="5"/>
        <v>0</v>
      </c>
      <c r="AG18" s="93">
        <f t="shared" si="6"/>
        <v>0</v>
      </c>
      <c r="AH18" s="120">
        <f t="shared" si="7"/>
        <v>0</v>
      </c>
      <c r="AI18" s="93">
        <f t="shared" si="8"/>
        <v>0</v>
      </c>
      <c r="AJ18" s="93">
        <f t="shared" si="9"/>
        <v>0</v>
      </c>
      <c r="AK18" s="120">
        <f t="shared" si="10"/>
        <v>0</v>
      </c>
      <c r="AL18" s="121"/>
      <c r="AM18" s="121"/>
    </row>
    <row r="19" spans="4:39" x14ac:dyDescent="0.3">
      <c r="D19" s="116">
        <v>16</v>
      </c>
      <c r="E19" s="116">
        <f t="shared" si="0"/>
        <v>0</v>
      </c>
      <c r="F19" s="116">
        <f t="shared" si="0"/>
        <v>0</v>
      </c>
      <c r="G19" s="117">
        <f t="shared" si="0"/>
        <v>0</v>
      </c>
      <c r="H19" s="116">
        <f t="shared" si="1"/>
        <v>0</v>
      </c>
      <c r="I19" s="116">
        <f t="shared" si="2"/>
        <v>0</v>
      </c>
      <c r="J19" s="116">
        <f t="shared" si="2"/>
        <v>0</v>
      </c>
      <c r="K19" s="116">
        <f t="shared" si="2"/>
        <v>0</v>
      </c>
      <c r="L19" s="116">
        <f t="shared" si="11"/>
        <v>0</v>
      </c>
      <c r="M19" s="116">
        <f t="shared" si="12"/>
        <v>8.1819191119888474E-2</v>
      </c>
      <c r="N19" s="116">
        <f t="shared" si="13"/>
        <v>8.2094438229770347E-2</v>
      </c>
      <c r="O19" s="116">
        <f t="shared" si="14"/>
        <v>1.0050525018226657</v>
      </c>
      <c r="P19" s="116">
        <f t="shared" si="15"/>
        <v>5.0631086318432056E-3</v>
      </c>
      <c r="Q19" s="116">
        <f t="shared" si="16"/>
        <v>1.0627590303618776E-5</v>
      </c>
      <c r="R19" s="116">
        <f t="shared" si="17"/>
        <v>2.0820378689919501E-8</v>
      </c>
      <c r="S19" s="116">
        <f t="shared" si="18"/>
        <v>3.9323714008920611E-11</v>
      </c>
      <c r="T19" s="116">
        <f t="shared" si="19"/>
        <v>6.5545480046391586E-14</v>
      </c>
      <c r="U19" s="116">
        <f t="shared" si="20"/>
        <v>0</v>
      </c>
      <c r="V19" s="116">
        <f t="shared" si="21"/>
        <v>7.249402448495651E-2</v>
      </c>
      <c r="W19" s="116">
        <f t="shared" si="22"/>
        <v>0</v>
      </c>
      <c r="X19" s="116">
        <f t="shared" si="23"/>
        <v>0</v>
      </c>
      <c r="Y19" s="116">
        <f t="shared" si="24"/>
        <v>0</v>
      </c>
      <c r="Z19" s="116">
        <f t="shared" si="25"/>
        <v>0</v>
      </c>
      <c r="AA19" s="116">
        <f t="shared" si="26"/>
        <v>309097.11943477829</v>
      </c>
      <c r="AB19" s="116">
        <f t="shared" si="27"/>
        <v>121.90192067628378</v>
      </c>
      <c r="AC19" s="116">
        <f t="shared" si="28"/>
        <v>0</v>
      </c>
      <c r="AD19" s="119" t="str">
        <f t="shared" si="3"/>
        <v/>
      </c>
      <c r="AE19" s="119" t="str">
        <f t="shared" si="4"/>
        <v/>
      </c>
      <c r="AF19" s="93">
        <f t="shared" si="5"/>
        <v>0</v>
      </c>
      <c r="AG19" s="93">
        <f t="shared" si="6"/>
        <v>0</v>
      </c>
      <c r="AH19" s="120">
        <f t="shared" si="7"/>
        <v>0</v>
      </c>
      <c r="AI19" s="93">
        <f t="shared" si="8"/>
        <v>0</v>
      </c>
      <c r="AJ19" s="93">
        <f t="shared" si="9"/>
        <v>0</v>
      </c>
      <c r="AK19" s="120">
        <f t="shared" si="10"/>
        <v>0</v>
      </c>
      <c r="AL19" s="121"/>
      <c r="AM19" s="121"/>
    </row>
    <row r="20" spans="4:39" x14ac:dyDescent="0.3">
      <c r="D20" s="116">
        <v>17</v>
      </c>
      <c r="E20" s="116">
        <f t="shared" si="0"/>
        <v>0</v>
      </c>
      <c r="F20" s="116">
        <f t="shared" si="0"/>
        <v>0</v>
      </c>
      <c r="G20" s="117">
        <f t="shared" si="0"/>
        <v>0</v>
      </c>
      <c r="H20" s="116">
        <f t="shared" si="1"/>
        <v>0</v>
      </c>
      <c r="I20" s="116">
        <f t="shared" si="2"/>
        <v>0</v>
      </c>
      <c r="J20" s="116">
        <f t="shared" si="2"/>
        <v>0</v>
      </c>
      <c r="K20" s="116">
        <f t="shared" si="2"/>
        <v>0</v>
      </c>
      <c r="L20" s="116">
        <f t="shared" si="11"/>
        <v>0</v>
      </c>
      <c r="M20" s="116">
        <f t="shared" si="12"/>
        <v>8.1819191119888474E-2</v>
      </c>
      <c r="N20" s="116">
        <f t="shared" si="13"/>
        <v>8.2094438229770347E-2</v>
      </c>
      <c r="O20" s="116">
        <f t="shared" si="14"/>
        <v>1.0050525018226657</v>
      </c>
      <c r="P20" s="116">
        <f t="shared" si="15"/>
        <v>5.0631086318432056E-3</v>
      </c>
      <c r="Q20" s="116">
        <f t="shared" si="16"/>
        <v>1.0627590303618776E-5</v>
      </c>
      <c r="R20" s="116">
        <f t="shared" si="17"/>
        <v>2.0820378689919501E-8</v>
      </c>
      <c r="S20" s="116">
        <f t="shared" si="18"/>
        <v>3.9323714008920611E-11</v>
      </c>
      <c r="T20" s="116">
        <f t="shared" si="19"/>
        <v>6.5545480046391586E-14</v>
      </c>
      <c r="U20" s="116">
        <f t="shared" si="20"/>
        <v>0</v>
      </c>
      <c r="V20" s="116">
        <f t="shared" si="21"/>
        <v>7.249402448495651E-2</v>
      </c>
      <c r="W20" s="116">
        <f t="shared" si="22"/>
        <v>0</v>
      </c>
      <c r="X20" s="116">
        <f t="shared" si="23"/>
        <v>0</v>
      </c>
      <c r="Y20" s="116">
        <f t="shared" si="24"/>
        <v>0</v>
      </c>
      <c r="Z20" s="116">
        <f t="shared" si="25"/>
        <v>0</v>
      </c>
      <c r="AA20" s="116">
        <f t="shared" si="26"/>
        <v>309097.11943477829</v>
      </c>
      <c r="AB20" s="116">
        <f t="shared" si="27"/>
        <v>121.90192067628378</v>
      </c>
      <c r="AC20" s="116">
        <f t="shared" si="28"/>
        <v>0</v>
      </c>
      <c r="AD20" s="119" t="str">
        <f t="shared" si="3"/>
        <v/>
      </c>
      <c r="AE20" s="119" t="str">
        <f t="shared" si="4"/>
        <v/>
      </c>
      <c r="AF20" s="93">
        <f t="shared" si="5"/>
        <v>0</v>
      </c>
      <c r="AG20" s="93">
        <f t="shared" si="6"/>
        <v>0</v>
      </c>
      <c r="AH20" s="120">
        <f t="shared" si="7"/>
        <v>0</v>
      </c>
      <c r="AI20" s="93">
        <f t="shared" si="8"/>
        <v>0</v>
      </c>
      <c r="AJ20" s="93">
        <f t="shared" si="9"/>
        <v>0</v>
      </c>
      <c r="AK20" s="120">
        <f t="shared" si="10"/>
        <v>0</v>
      </c>
      <c r="AL20" s="121"/>
      <c r="AM20" s="121"/>
    </row>
    <row r="21" spans="4:39" x14ac:dyDescent="0.3">
      <c r="D21" s="116">
        <v>18</v>
      </c>
      <c r="E21" s="116">
        <f t="shared" si="0"/>
        <v>0</v>
      </c>
      <c r="F21" s="116">
        <f t="shared" si="0"/>
        <v>0</v>
      </c>
      <c r="G21" s="117">
        <f t="shared" si="0"/>
        <v>0</v>
      </c>
      <c r="H21" s="116">
        <f t="shared" si="1"/>
        <v>0</v>
      </c>
      <c r="I21" s="116">
        <f t="shared" si="2"/>
        <v>0</v>
      </c>
      <c r="J21" s="116">
        <f t="shared" si="2"/>
        <v>0</v>
      </c>
      <c r="K21" s="116">
        <f t="shared" si="2"/>
        <v>0</v>
      </c>
      <c r="L21" s="116">
        <f t="shared" si="11"/>
        <v>0</v>
      </c>
      <c r="M21" s="116">
        <f t="shared" si="12"/>
        <v>8.1819191119888474E-2</v>
      </c>
      <c r="N21" s="116">
        <f t="shared" si="13"/>
        <v>8.2094438229770347E-2</v>
      </c>
      <c r="O21" s="116">
        <f t="shared" si="14"/>
        <v>1.0050525018226657</v>
      </c>
      <c r="P21" s="116">
        <f t="shared" si="15"/>
        <v>5.0631086318432056E-3</v>
      </c>
      <c r="Q21" s="116">
        <f t="shared" si="16"/>
        <v>1.0627590303618776E-5</v>
      </c>
      <c r="R21" s="116">
        <f t="shared" si="17"/>
        <v>2.0820378689919501E-8</v>
      </c>
      <c r="S21" s="116">
        <f t="shared" si="18"/>
        <v>3.9323714008920611E-11</v>
      </c>
      <c r="T21" s="116">
        <f t="shared" si="19"/>
        <v>6.5545480046391586E-14</v>
      </c>
      <c r="U21" s="116">
        <f t="shared" si="20"/>
        <v>0</v>
      </c>
      <c r="V21" s="116">
        <f t="shared" si="21"/>
        <v>7.249402448495651E-2</v>
      </c>
      <c r="W21" s="116">
        <f t="shared" si="22"/>
        <v>0</v>
      </c>
      <c r="X21" s="116">
        <f t="shared" si="23"/>
        <v>0</v>
      </c>
      <c r="Y21" s="116">
        <f t="shared" si="24"/>
        <v>0</v>
      </c>
      <c r="Z21" s="116">
        <f t="shared" si="25"/>
        <v>0</v>
      </c>
      <c r="AA21" s="116">
        <f t="shared" si="26"/>
        <v>309097.11943477829</v>
      </c>
      <c r="AB21" s="116">
        <f t="shared" si="27"/>
        <v>121.90192067628378</v>
      </c>
      <c r="AC21" s="116">
        <f t="shared" si="28"/>
        <v>0</v>
      </c>
      <c r="AD21" s="119" t="str">
        <f t="shared" si="3"/>
        <v/>
      </c>
      <c r="AE21" s="119" t="str">
        <f t="shared" si="4"/>
        <v/>
      </c>
      <c r="AF21" s="93">
        <f t="shared" si="5"/>
        <v>0</v>
      </c>
      <c r="AG21" s="93">
        <f t="shared" si="6"/>
        <v>0</v>
      </c>
      <c r="AH21" s="120">
        <f t="shared" si="7"/>
        <v>0</v>
      </c>
      <c r="AI21" s="93">
        <f t="shared" si="8"/>
        <v>0</v>
      </c>
      <c r="AJ21" s="93">
        <f t="shared" si="9"/>
        <v>0</v>
      </c>
      <c r="AK21" s="120">
        <f t="shared" si="10"/>
        <v>0</v>
      </c>
      <c r="AL21" s="121"/>
      <c r="AM21" s="121"/>
    </row>
    <row r="22" spans="4:39" x14ac:dyDescent="0.3">
      <c r="D22" s="116">
        <v>19</v>
      </c>
      <c r="E22" s="116">
        <f t="shared" si="0"/>
        <v>0</v>
      </c>
      <c r="F22" s="116">
        <f t="shared" si="0"/>
        <v>0</v>
      </c>
      <c r="G22" s="117">
        <f t="shared" si="0"/>
        <v>0</v>
      </c>
      <c r="H22" s="116">
        <f t="shared" si="1"/>
        <v>0</v>
      </c>
      <c r="I22" s="116">
        <f t="shared" si="2"/>
        <v>0</v>
      </c>
      <c r="J22" s="116">
        <f t="shared" si="2"/>
        <v>0</v>
      </c>
      <c r="K22" s="116">
        <f t="shared" si="2"/>
        <v>0</v>
      </c>
      <c r="L22" s="116">
        <f t="shared" si="11"/>
        <v>0</v>
      </c>
      <c r="M22" s="116">
        <f t="shared" si="12"/>
        <v>8.1819191119888474E-2</v>
      </c>
      <c r="N22" s="116">
        <f t="shared" si="13"/>
        <v>8.2094438229770347E-2</v>
      </c>
      <c r="O22" s="116">
        <f t="shared" si="14"/>
        <v>1.0050525018226657</v>
      </c>
      <c r="P22" s="116">
        <f t="shared" si="15"/>
        <v>5.0631086318432056E-3</v>
      </c>
      <c r="Q22" s="116">
        <f t="shared" si="16"/>
        <v>1.0627590303618776E-5</v>
      </c>
      <c r="R22" s="116">
        <f t="shared" si="17"/>
        <v>2.0820378689919501E-8</v>
      </c>
      <c r="S22" s="116">
        <f t="shared" si="18"/>
        <v>3.9323714008920611E-11</v>
      </c>
      <c r="T22" s="116">
        <f t="shared" si="19"/>
        <v>6.5545480046391586E-14</v>
      </c>
      <c r="U22" s="116">
        <f t="shared" si="20"/>
        <v>0</v>
      </c>
      <c r="V22" s="116">
        <f t="shared" si="21"/>
        <v>7.249402448495651E-2</v>
      </c>
      <c r="W22" s="116">
        <f t="shared" si="22"/>
        <v>0</v>
      </c>
      <c r="X22" s="116">
        <f t="shared" si="23"/>
        <v>0</v>
      </c>
      <c r="Y22" s="116">
        <f t="shared" si="24"/>
        <v>0</v>
      </c>
      <c r="Z22" s="116">
        <f t="shared" si="25"/>
        <v>0</v>
      </c>
      <c r="AA22" s="116">
        <f t="shared" si="26"/>
        <v>309097.11943477829</v>
      </c>
      <c r="AB22" s="116">
        <f t="shared" si="27"/>
        <v>121.90192067628378</v>
      </c>
      <c r="AC22" s="116">
        <f t="shared" si="28"/>
        <v>0</v>
      </c>
      <c r="AD22" s="119" t="str">
        <f t="shared" si="3"/>
        <v/>
      </c>
      <c r="AE22" s="119" t="str">
        <f t="shared" si="4"/>
        <v/>
      </c>
      <c r="AF22" s="93">
        <f t="shared" si="5"/>
        <v>0</v>
      </c>
      <c r="AG22" s="93">
        <f t="shared" si="6"/>
        <v>0</v>
      </c>
      <c r="AH22" s="120">
        <f t="shared" si="7"/>
        <v>0</v>
      </c>
      <c r="AI22" s="93">
        <f t="shared" si="8"/>
        <v>0</v>
      </c>
      <c r="AJ22" s="93">
        <f t="shared" si="9"/>
        <v>0</v>
      </c>
      <c r="AK22" s="120">
        <f t="shared" si="10"/>
        <v>0</v>
      </c>
      <c r="AL22" s="121"/>
      <c r="AM22" s="121"/>
    </row>
    <row r="23" spans="4:39" x14ac:dyDescent="0.3">
      <c r="D23" s="116">
        <v>20</v>
      </c>
      <c r="E23" s="116">
        <f t="shared" si="0"/>
        <v>0</v>
      </c>
      <c r="F23" s="116">
        <f t="shared" si="0"/>
        <v>0</v>
      </c>
      <c r="G23" s="117">
        <f t="shared" si="0"/>
        <v>0</v>
      </c>
      <c r="H23" s="116">
        <f t="shared" si="1"/>
        <v>0</v>
      </c>
      <c r="I23" s="116">
        <f t="shared" si="2"/>
        <v>0</v>
      </c>
      <c r="J23" s="116">
        <f t="shared" si="2"/>
        <v>0</v>
      </c>
      <c r="K23" s="116">
        <f t="shared" si="2"/>
        <v>0</v>
      </c>
      <c r="L23" s="116">
        <f t="shared" si="11"/>
        <v>0</v>
      </c>
      <c r="M23" s="116">
        <f t="shared" si="12"/>
        <v>8.1819191119888474E-2</v>
      </c>
      <c r="N23" s="116">
        <f t="shared" si="13"/>
        <v>8.2094438229770347E-2</v>
      </c>
      <c r="O23" s="116">
        <f t="shared" si="14"/>
        <v>1.0050525018226657</v>
      </c>
      <c r="P23" s="116">
        <f t="shared" si="15"/>
        <v>5.0631086318432056E-3</v>
      </c>
      <c r="Q23" s="116">
        <f t="shared" si="16"/>
        <v>1.0627590303618776E-5</v>
      </c>
      <c r="R23" s="116">
        <f t="shared" si="17"/>
        <v>2.0820378689919501E-8</v>
      </c>
      <c r="S23" s="116">
        <f t="shared" si="18"/>
        <v>3.9323714008920611E-11</v>
      </c>
      <c r="T23" s="116">
        <f t="shared" si="19"/>
        <v>6.5545480046391586E-14</v>
      </c>
      <c r="U23" s="116">
        <f t="shared" si="20"/>
        <v>0</v>
      </c>
      <c r="V23" s="116">
        <f t="shared" si="21"/>
        <v>7.249402448495651E-2</v>
      </c>
      <c r="W23" s="116">
        <f t="shared" si="22"/>
        <v>0</v>
      </c>
      <c r="X23" s="116">
        <f t="shared" si="23"/>
        <v>0</v>
      </c>
      <c r="Y23" s="116">
        <f t="shared" si="24"/>
        <v>0</v>
      </c>
      <c r="Z23" s="116">
        <f t="shared" si="25"/>
        <v>0</v>
      </c>
      <c r="AA23" s="116">
        <f t="shared" si="26"/>
        <v>309097.11943477829</v>
      </c>
      <c r="AB23" s="116">
        <f t="shared" si="27"/>
        <v>121.90192067628378</v>
      </c>
      <c r="AC23" s="116">
        <f t="shared" si="28"/>
        <v>0</v>
      </c>
      <c r="AD23" s="119" t="str">
        <f t="shared" si="3"/>
        <v/>
      </c>
      <c r="AE23" s="119" t="str">
        <f t="shared" si="4"/>
        <v/>
      </c>
      <c r="AF23" s="93">
        <f t="shared" si="5"/>
        <v>0</v>
      </c>
      <c r="AG23" s="93">
        <f t="shared" si="6"/>
        <v>0</v>
      </c>
      <c r="AH23" s="120">
        <f t="shared" si="7"/>
        <v>0</v>
      </c>
      <c r="AI23" s="93">
        <f t="shared" si="8"/>
        <v>0</v>
      </c>
      <c r="AJ23" s="93">
        <f t="shared" si="9"/>
        <v>0</v>
      </c>
      <c r="AK23" s="120">
        <f t="shared" si="10"/>
        <v>0</v>
      </c>
      <c r="AL23" s="121"/>
      <c r="AM23" s="121"/>
    </row>
    <row r="24" spans="4:39" x14ac:dyDescent="0.3">
      <c r="D24" s="116">
        <v>21</v>
      </c>
      <c r="E24" s="116">
        <f t="shared" si="0"/>
        <v>0</v>
      </c>
      <c r="F24" s="116">
        <f t="shared" si="0"/>
        <v>0</v>
      </c>
      <c r="G24" s="117">
        <f t="shared" si="0"/>
        <v>0</v>
      </c>
      <c r="H24" s="116">
        <f t="shared" si="1"/>
        <v>0</v>
      </c>
      <c r="I24" s="116">
        <f t="shared" si="2"/>
        <v>0</v>
      </c>
      <c r="J24" s="116">
        <f t="shared" si="2"/>
        <v>0</v>
      </c>
      <c r="K24" s="116">
        <f t="shared" si="2"/>
        <v>0</v>
      </c>
      <c r="L24" s="116">
        <f t="shared" si="11"/>
        <v>0</v>
      </c>
      <c r="M24" s="116">
        <f t="shared" si="12"/>
        <v>8.1819191119888474E-2</v>
      </c>
      <c r="N24" s="116">
        <f t="shared" si="13"/>
        <v>8.2094438229770347E-2</v>
      </c>
      <c r="O24" s="116">
        <f t="shared" si="14"/>
        <v>1.0050525018226657</v>
      </c>
      <c r="P24" s="116">
        <f t="shared" si="15"/>
        <v>5.0631086318432056E-3</v>
      </c>
      <c r="Q24" s="116">
        <f t="shared" si="16"/>
        <v>1.0627590303618776E-5</v>
      </c>
      <c r="R24" s="116">
        <f t="shared" si="17"/>
        <v>2.0820378689919501E-8</v>
      </c>
      <c r="S24" s="116">
        <f t="shared" si="18"/>
        <v>3.9323714008920611E-11</v>
      </c>
      <c r="T24" s="116">
        <f t="shared" si="19"/>
        <v>6.5545480046391586E-14</v>
      </c>
      <c r="U24" s="116">
        <f t="shared" si="20"/>
        <v>0</v>
      </c>
      <c r="V24" s="116">
        <f t="shared" si="21"/>
        <v>7.249402448495651E-2</v>
      </c>
      <c r="W24" s="116">
        <f t="shared" si="22"/>
        <v>0</v>
      </c>
      <c r="X24" s="116">
        <f t="shared" si="23"/>
        <v>0</v>
      </c>
      <c r="Y24" s="116">
        <f t="shared" si="24"/>
        <v>0</v>
      </c>
      <c r="Z24" s="116">
        <f t="shared" si="25"/>
        <v>0</v>
      </c>
      <c r="AA24" s="116">
        <f t="shared" si="26"/>
        <v>309097.11943477829</v>
      </c>
      <c r="AB24" s="116">
        <f t="shared" si="27"/>
        <v>121.90192067628378</v>
      </c>
      <c r="AC24" s="116">
        <f t="shared" si="28"/>
        <v>0</v>
      </c>
      <c r="AD24" s="119" t="str">
        <f t="shared" si="3"/>
        <v/>
      </c>
      <c r="AE24" s="119" t="str">
        <f t="shared" si="4"/>
        <v/>
      </c>
      <c r="AF24" s="93">
        <f t="shared" si="5"/>
        <v>0</v>
      </c>
      <c r="AG24" s="93">
        <f t="shared" si="6"/>
        <v>0</v>
      </c>
      <c r="AH24" s="120">
        <f t="shared" si="7"/>
        <v>0</v>
      </c>
      <c r="AI24" s="93">
        <f t="shared" si="8"/>
        <v>0</v>
      </c>
      <c r="AJ24" s="93">
        <f t="shared" si="9"/>
        <v>0</v>
      </c>
      <c r="AK24" s="120">
        <f t="shared" si="10"/>
        <v>0</v>
      </c>
      <c r="AL24" s="121"/>
      <c r="AM24" s="121"/>
    </row>
    <row r="25" spans="4:39" x14ac:dyDescent="0.3">
      <c r="D25" s="116">
        <v>22</v>
      </c>
      <c r="E25" s="116">
        <f t="shared" si="0"/>
        <v>0</v>
      </c>
      <c r="F25" s="116">
        <f t="shared" si="0"/>
        <v>0</v>
      </c>
      <c r="G25" s="117">
        <f t="shared" si="0"/>
        <v>0</v>
      </c>
      <c r="H25" s="116">
        <f t="shared" si="1"/>
        <v>0</v>
      </c>
      <c r="I25" s="116">
        <f t="shared" si="2"/>
        <v>0</v>
      </c>
      <c r="J25" s="116">
        <f t="shared" si="2"/>
        <v>0</v>
      </c>
      <c r="K25" s="116">
        <f t="shared" si="2"/>
        <v>0</v>
      </c>
      <c r="L25" s="116">
        <f t="shared" si="11"/>
        <v>0</v>
      </c>
      <c r="M25" s="116">
        <f t="shared" si="12"/>
        <v>8.1819191119888474E-2</v>
      </c>
      <c r="N25" s="116">
        <f t="shared" si="13"/>
        <v>8.2094438229770347E-2</v>
      </c>
      <c r="O25" s="116">
        <f t="shared" si="14"/>
        <v>1.0050525018226657</v>
      </c>
      <c r="P25" s="116">
        <f t="shared" si="15"/>
        <v>5.0631086318432056E-3</v>
      </c>
      <c r="Q25" s="116">
        <f t="shared" si="16"/>
        <v>1.0627590303618776E-5</v>
      </c>
      <c r="R25" s="116">
        <f t="shared" si="17"/>
        <v>2.0820378689919501E-8</v>
      </c>
      <c r="S25" s="116">
        <f t="shared" si="18"/>
        <v>3.9323714008920611E-11</v>
      </c>
      <c r="T25" s="116">
        <f t="shared" si="19"/>
        <v>6.5545480046391586E-14</v>
      </c>
      <c r="U25" s="116">
        <f t="shared" si="20"/>
        <v>0</v>
      </c>
      <c r="V25" s="116">
        <f t="shared" si="21"/>
        <v>7.249402448495651E-2</v>
      </c>
      <c r="W25" s="116">
        <f t="shared" si="22"/>
        <v>0</v>
      </c>
      <c r="X25" s="116">
        <f t="shared" si="23"/>
        <v>0</v>
      </c>
      <c r="Y25" s="116">
        <f t="shared" si="24"/>
        <v>0</v>
      </c>
      <c r="Z25" s="116">
        <f t="shared" si="25"/>
        <v>0</v>
      </c>
      <c r="AA25" s="116">
        <f t="shared" si="26"/>
        <v>309097.11943477829</v>
      </c>
      <c r="AB25" s="116">
        <f t="shared" si="27"/>
        <v>121.90192067628378</v>
      </c>
      <c r="AC25" s="116">
        <f t="shared" si="28"/>
        <v>0</v>
      </c>
      <c r="AD25" s="119" t="str">
        <f t="shared" si="3"/>
        <v/>
      </c>
      <c r="AE25" s="119" t="str">
        <f t="shared" si="4"/>
        <v/>
      </c>
      <c r="AF25" s="93">
        <f t="shared" si="5"/>
        <v>0</v>
      </c>
      <c r="AG25" s="93">
        <f t="shared" si="6"/>
        <v>0</v>
      </c>
      <c r="AH25" s="120">
        <f t="shared" si="7"/>
        <v>0</v>
      </c>
      <c r="AI25" s="93">
        <f t="shared" si="8"/>
        <v>0</v>
      </c>
      <c r="AJ25" s="93">
        <f t="shared" si="9"/>
        <v>0</v>
      </c>
      <c r="AK25" s="120">
        <f t="shared" si="10"/>
        <v>0</v>
      </c>
      <c r="AL25" s="121"/>
      <c r="AM25" s="121"/>
    </row>
    <row r="26" spans="4:39" x14ac:dyDescent="0.3">
      <c r="D26" s="116">
        <v>23</v>
      </c>
      <c r="E26" s="116">
        <f t="shared" si="0"/>
        <v>0</v>
      </c>
      <c r="F26" s="116">
        <f t="shared" si="0"/>
        <v>0</v>
      </c>
      <c r="G26" s="117">
        <f t="shared" si="0"/>
        <v>0</v>
      </c>
      <c r="H26" s="116">
        <f t="shared" si="1"/>
        <v>0</v>
      </c>
      <c r="I26" s="116">
        <f t="shared" si="2"/>
        <v>0</v>
      </c>
      <c r="J26" s="116">
        <f t="shared" si="2"/>
        <v>0</v>
      </c>
      <c r="K26" s="116">
        <f t="shared" si="2"/>
        <v>0</v>
      </c>
      <c r="L26" s="116">
        <f t="shared" si="11"/>
        <v>0</v>
      </c>
      <c r="M26" s="116">
        <f t="shared" si="12"/>
        <v>8.1819191119888474E-2</v>
      </c>
      <c r="N26" s="116">
        <f t="shared" si="13"/>
        <v>8.2094438229770347E-2</v>
      </c>
      <c r="O26" s="116">
        <f t="shared" si="14"/>
        <v>1.0050525018226657</v>
      </c>
      <c r="P26" s="116">
        <f t="shared" si="15"/>
        <v>5.0631086318432056E-3</v>
      </c>
      <c r="Q26" s="116">
        <f t="shared" si="16"/>
        <v>1.0627590303618776E-5</v>
      </c>
      <c r="R26" s="116">
        <f t="shared" si="17"/>
        <v>2.0820378689919501E-8</v>
      </c>
      <c r="S26" s="116">
        <f t="shared" si="18"/>
        <v>3.9323714008920611E-11</v>
      </c>
      <c r="T26" s="116">
        <f t="shared" si="19"/>
        <v>6.5545480046391586E-14</v>
      </c>
      <c r="U26" s="116">
        <f t="shared" si="20"/>
        <v>0</v>
      </c>
      <c r="V26" s="116">
        <f t="shared" si="21"/>
        <v>7.249402448495651E-2</v>
      </c>
      <c r="W26" s="116">
        <f t="shared" si="22"/>
        <v>0</v>
      </c>
      <c r="X26" s="116">
        <f t="shared" si="23"/>
        <v>0</v>
      </c>
      <c r="Y26" s="116">
        <f t="shared" si="24"/>
        <v>0</v>
      </c>
      <c r="Z26" s="116">
        <f t="shared" si="25"/>
        <v>0</v>
      </c>
      <c r="AA26" s="116">
        <f t="shared" si="26"/>
        <v>309097.11943477829</v>
      </c>
      <c r="AB26" s="116">
        <f t="shared" si="27"/>
        <v>121.90192067628378</v>
      </c>
      <c r="AC26" s="116">
        <f t="shared" si="28"/>
        <v>0</v>
      </c>
      <c r="AD26" s="119" t="str">
        <f t="shared" si="3"/>
        <v/>
      </c>
      <c r="AE26" s="119" t="str">
        <f t="shared" si="4"/>
        <v/>
      </c>
      <c r="AF26" s="93">
        <f t="shared" si="5"/>
        <v>0</v>
      </c>
      <c r="AG26" s="93">
        <f t="shared" si="6"/>
        <v>0</v>
      </c>
      <c r="AH26" s="120">
        <f t="shared" si="7"/>
        <v>0</v>
      </c>
      <c r="AI26" s="93">
        <f t="shared" si="8"/>
        <v>0</v>
      </c>
      <c r="AJ26" s="93">
        <f t="shared" si="9"/>
        <v>0</v>
      </c>
      <c r="AK26" s="120">
        <f t="shared" si="10"/>
        <v>0</v>
      </c>
      <c r="AL26" s="121"/>
      <c r="AM26" s="121"/>
    </row>
    <row r="27" spans="4:39" x14ac:dyDescent="0.3">
      <c r="D27" s="116">
        <v>24</v>
      </c>
      <c r="E27" s="116">
        <f t="shared" si="0"/>
        <v>0</v>
      </c>
      <c r="F27" s="116">
        <f t="shared" si="0"/>
        <v>0</v>
      </c>
      <c r="G27" s="117">
        <f t="shared" si="0"/>
        <v>0</v>
      </c>
      <c r="H27" s="116">
        <f t="shared" si="1"/>
        <v>0</v>
      </c>
      <c r="I27" s="116">
        <f t="shared" si="2"/>
        <v>0</v>
      </c>
      <c r="J27" s="116">
        <f t="shared" si="2"/>
        <v>0</v>
      </c>
      <c r="K27" s="116">
        <f t="shared" si="2"/>
        <v>0</v>
      </c>
      <c r="L27" s="116">
        <f t="shared" si="11"/>
        <v>0</v>
      </c>
      <c r="M27" s="116">
        <f t="shared" si="12"/>
        <v>8.1819191119888474E-2</v>
      </c>
      <c r="N27" s="116">
        <f t="shared" si="13"/>
        <v>8.2094438229770347E-2</v>
      </c>
      <c r="O27" s="116">
        <f t="shared" si="14"/>
        <v>1.0050525018226657</v>
      </c>
      <c r="P27" s="116">
        <f t="shared" si="15"/>
        <v>5.0631086318432056E-3</v>
      </c>
      <c r="Q27" s="116">
        <f t="shared" si="16"/>
        <v>1.0627590303618776E-5</v>
      </c>
      <c r="R27" s="116">
        <f t="shared" si="17"/>
        <v>2.0820378689919501E-8</v>
      </c>
      <c r="S27" s="116">
        <f t="shared" si="18"/>
        <v>3.9323714008920611E-11</v>
      </c>
      <c r="T27" s="116">
        <f t="shared" si="19"/>
        <v>6.5545480046391586E-14</v>
      </c>
      <c r="U27" s="116">
        <f t="shared" si="20"/>
        <v>0</v>
      </c>
      <c r="V27" s="116">
        <f t="shared" si="21"/>
        <v>7.249402448495651E-2</v>
      </c>
      <c r="W27" s="116">
        <f t="shared" si="22"/>
        <v>0</v>
      </c>
      <c r="X27" s="116">
        <f t="shared" si="23"/>
        <v>0</v>
      </c>
      <c r="Y27" s="116">
        <f t="shared" si="24"/>
        <v>0</v>
      </c>
      <c r="Z27" s="116">
        <f t="shared" si="25"/>
        <v>0</v>
      </c>
      <c r="AA27" s="116">
        <f t="shared" si="26"/>
        <v>309097.11943477829</v>
      </c>
      <c r="AB27" s="116">
        <f t="shared" si="27"/>
        <v>121.90192067628378</v>
      </c>
      <c r="AC27" s="116">
        <f t="shared" si="28"/>
        <v>0</v>
      </c>
      <c r="AD27" s="119" t="str">
        <f t="shared" si="3"/>
        <v/>
      </c>
      <c r="AE27" s="119" t="str">
        <f t="shared" si="4"/>
        <v/>
      </c>
      <c r="AF27" s="93">
        <f t="shared" si="5"/>
        <v>0</v>
      </c>
      <c r="AG27" s="93">
        <f t="shared" si="6"/>
        <v>0</v>
      </c>
      <c r="AH27" s="120">
        <f t="shared" si="7"/>
        <v>0</v>
      </c>
      <c r="AI27" s="93">
        <f t="shared" si="8"/>
        <v>0</v>
      </c>
      <c r="AJ27" s="93">
        <f t="shared" si="9"/>
        <v>0</v>
      </c>
      <c r="AK27" s="120">
        <f t="shared" si="10"/>
        <v>0</v>
      </c>
      <c r="AL27" s="121"/>
      <c r="AM27" s="121"/>
    </row>
    <row r="28" spans="4:39" x14ac:dyDescent="0.3">
      <c r="D28" s="116">
        <v>25</v>
      </c>
      <c r="E28" s="116">
        <f t="shared" si="0"/>
        <v>0</v>
      </c>
      <c r="F28" s="116">
        <f t="shared" si="0"/>
        <v>0</v>
      </c>
      <c r="G28" s="117">
        <f t="shared" si="0"/>
        <v>0</v>
      </c>
      <c r="H28" s="116">
        <f t="shared" si="1"/>
        <v>0</v>
      </c>
      <c r="I28" s="116">
        <f t="shared" si="2"/>
        <v>0</v>
      </c>
      <c r="J28" s="116">
        <f t="shared" si="2"/>
        <v>0</v>
      </c>
      <c r="K28" s="116">
        <f t="shared" si="2"/>
        <v>0</v>
      </c>
      <c r="L28" s="116">
        <f t="shared" si="11"/>
        <v>0</v>
      </c>
      <c r="M28" s="116">
        <f t="shared" si="12"/>
        <v>8.1819191119888474E-2</v>
      </c>
      <c r="N28" s="116">
        <f t="shared" si="13"/>
        <v>8.2094438229770347E-2</v>
      </c>
      <c r="O28" s="116">
        <f t="shared" si="14"/>
        <v>1.0050525018226657</v>
      </c>
      <c r="P28" s="116">
        <f t="shared" si="15"/>
        <v>5.0631086318432056E-3</v>
      </c>
      <c r="Q28" s="116">
        <f t="shared" si="16"/>
        <v>1.0627590303618776E-5</v>
      </c>
      <c r="R28" s="116">
        <f t="shared" si="17"/>
        <v>2.0820378689919501E-8</v>
      </c>
      <c r="S28" s="116">
        <f t="shared" si="18"/>
        <v>3.9323714008920611E-11</v>
      </c>
      <c r="T28" s="116">
        <f t="shared" si="19"/>
        <v>6.5545480046391586E-14</v>
      </c>
      <c r="U28" s="116">
        <f t="shared" si="20"/>
        <v>0</v>
      </c>
      <c r="V28" s="116">
        <f t="shared" si="21"/>
        <v>7.249402448495651E-2</v>
      </c>
      <c r="W28" s="116">
        <f t="shared" si="22"/>
        <v>0</v>
      </c>
      <c r="X28" s="116">
        <f t="shared" si="23"/>
        <v>0</v>
      </c>
      <c r="Y28" s="116">
        <f t="shared" si="24"/>
        <v>0</v>
      </c>
      <c r="Z28" s="116">
        <f t="shared" si="25"/>
        <v>0</v>
      </c>
      <c r="AA28" s="116">
        <f t="shared" si="26"/>
        <v>309097.11943477829</v>
      </c>
      <c r="AB28" s="116">
        <f t="shared" si="27"/>
        <v>121.90192067628378</v>
      </c>
      <c r="AC28" s="116">
        <f t="shared" si="28"/>
        <v>0</v>
      </c>
      <c r="AD28" s="119" t="str">
        <f t="shared" si="3"/>
        <v/>
      </c>
      <c r="AE28" s="119" t="str">
        <f t="shared" si="4"/>
        <v/>
      </c>
      <c r="AF28" s="93">
        <f t="shared" si="5"/>
        <v>0</v>
      </c>
      <c r="AG28" s="93">
        <f t="shared" si="6"/>
        <v>0</v>
      </c>
      <c r="AH28" s="120">
        <f t="shared" si="7"/>
        <v>0</v>
      </c>
      <c r="AI28" s="93">
        <f t="shared" si="8"/>
        <v>0</v>
      </c>
      <c r="AJ28" s="93">
        <f t="shared" si="9"/>
        <v>0</v>
      </c>
      <c r="AK28" s="120">
        <f t="shared" si="10"/>
        <v>0</v>
      </c>
      <c r="AL28" s="121"/>
      <c r="AM28" s="121"/>
    </row>
    <row r="29" spans="4:39" x14ac:dyDescent="0.3">
      <c r="D29" s="116">
        <v>26</v>
      </c>
      <c r="E29" s="116">
        <f t="shared" ref="E29:G53" si="29">AF29</f>
        <v>0</v>
      </c>
      <c r="F29" s="116">
        <f t="shared" si="29"/>
        <v>0</v>
      </c>
      <c r="G29" s="117">
        <f t="shared" si="29"/>
        <v>0</v>
      </c>
      <c r="H29" s="116">
        <f t="shared" si="1"/>
        <v>0</v>
      </c>
      <c r="I29" s="116">
        <f t="shared" ref="I29:K53" si="30">AI29</f>
        <v>0</v>
      </c>
      <c r="J29" s="116">
        <f t="shared" si="30"/>
        <v>0</v>
      </c>
      <c r="K29" s="116">
        <f t="shared" si="30"/>
        <v>0</v>
      </c>
      <c r="L29" s="116">
        <f t="shared" si="11"/>
        <v>0</v>
      </c>
      <c r="M29" s="116">
        <f t="shared" si="12"/>
        <v>8.1819191119888474E-2</v>
      </c>
      <c r="N29" s="116">
        <f t="shared" si="13"/>
        <v>8.2094438229770347E-2</v>
      </c>
      <c r="O29" s="116">
        <f t="shared" si="14"/>
        <v>1.0050525018226657</v>
      </c>
      <c r="P29" s="116">
        <f t="shared" si="15"/>
        <v>5.0631086318432056E-3</v>
      </c>
      <c r="Q29" s="116">
        <f t="shared" si="16"/>
        <v>1.0627590303618776E-5</v>
      </c>
      <c r="R29" s="116">
        <f t="shared" si="17"/>
        <v>2.0820378689919501E-8</v>
      </c>
      <c r="S29" s="116">
        <f t="shared" si="18"/>
        <v>3.9323714008920611E-11</v>
      </c>
      <c r="T29" s="116">
        <f t="shared" si="19"/>
        <v>6.5545480046391586E-14</v>
      </c>
      <c r="U29" s="116">
        <f t="shared" si="20"/>
        <v>0</v>
      </c>
      <c r="V29" s="116">
        <f t="shared" si="21"/>
        <v>7.249402448495651E-2</v>
      </c>
      <c r="W29" s="116">
        <f t="shared" si="22"/>
        <v>0</v>
      </c>
      <c r="X29" s="116">
        <f t="shared" si="23"/>
        <v>0</v>
      </c>
      <c r="Y29" s="116">
        <f t="shared" si="24"/>
        <v>0</v>
      </c>
      <c r="Z29" s="116">
        <f t="shared" si="25"/>
        <v>0</v>
      </c>
      <c r="AA29" s="116">
        <f t="shared" si="26"/>
        <v>309097.11943477829</v>
      </c>
      <c r="AB29" s="116">
        <f t="shared" si="27"/>
        <v>121.90192067628378</v>
      </c>
      <c r="AC29" s="116">
        <f t="shared" si="28"/>
        <v>0</v>
      </c>
      <c r="AD29" s="119" t="str">
        <f t="shared" si="3"/>
        <v/>
      </c>
      <c r="AE29" s="119" t="str">
        <f t="shared" si="4"/>
        <v/>
      </c>
      <c r="AF29" s="93">
        <f t="shared" si="5"/>
        <v>0</v>
      </c>
      <c r="AG29" s="93">
        <f t="shared" si="6"/>
        <v>0</v>
      </c>
      <c r="AH29" s="120">
        <f t="shared" si="7"/>
        <v>0</v>
      </c>
      <c r="AI29" s="93">
        <f t="shared" si="8"/>
        <v>0</v>
      </c>
      <c r="AJ29" s="93">
        <f t="shared" si="9"/>
        <v>0</v>
      </c>
      <c r="AK29" s="120">
        <f t="shared" si="10"/>
        <v>0</v>
      </c>
      <c r="AL29" s="121"/>
      <c r="AM29" s="121"/>
    </row>
    <row r="30" spans="4:39" x14ac:dyDescent="0.3">
      <c r="D30" s="116">
        <v>27</v>
      </c>
      <c r="E30" s="116">
        <f t="shared" si="29"/>
        <v>0</v>
      </c>
      <c r="F30" s="116">
        <f t="shared" si="29"/>
        <v>0</v>
      </c>
      <c r="G30" s="117">
        <f t="shared" si="29"/>
        <v>0</v>
      </c>
      <c r="H30" s="116">
        <f t="shared" si="1"/>
        <v>0</v>
      </c>
      <c r="I30" s="116">
        <f t="shared" si="30"/>
        <v>0</v>
      </c>
      <c r="J30" s="116">
        <f t="shared" si="30"/>
        <v>0</v>
      </c>
      <c r="K30" s="116">
        <f t="shared" si="30"/>
        <v>0</v>
      </c>
      <c r="L30" s="116">
        <f t="shared" si="11"/>
        <v>0</v>
      </c>
      <c r="M30" s="116">
        <f t="shared" si="12"/>
        <v>8.1819191119888474E-2</v>
      </c>
      <c r="N30" s="116">
        <f t="shared" si="13"/>
        <v>8.2094438229770347E-2</v>
      </c>
      <c r="O30" s="116">
        <f t="shared" si="14"/>
        <v>1.0050525018226657</v>
      </c>
      <c r="P30" s="116">
        <f t="shared" si="15"/>
        <v>5.0631086318432056E-3</v>
      </c>
      <c r="Q30" s="116">
        <f t="shared" si="16"/>
        <v>1.0627590303618776E-5</v>
      </c>
      <c r="R30" s="116">
        <f t="shared" si="17"/>
        <v>2.0820378689919501E-8</v>
      </c>
      <c r="S30" s="116">
        <f t="shared" si="18"/>
        <v>3.9323714008920611E-11</v>
      </c>
      <c r="T30" s="116">
        <f t="shared" si="19"/>
        <v>6.5545480046391586E-14</v>
      </c>
      <c r="U30" s="116">
        <f t="shared" si="20"/>
        <v>0</v>
      </c>
      <c r="V30" s="116">
        <f t="shared" si="21"/>
        <v>7.249402448495651E-2</v>
      </c>
      <c r="W30" s="116">
        <f t="shared" si="22"/>
        <v>0</v>
      </c>
      <c r="X30" s="116">
        <f t="shared" si="23"/>
        <v>0</v>
      </c>
      <c r="Y30" s="116">
        <f t="shared" si="24"/>
        <v>0</v>
      </c>
      <c r="Z30" s="116">
        <f t="shared" si="25"/>
        <v>0</v>
      </c>
      <c r="AA30" s="116">
        <f t="shared" si="26"/>
        <v>309097.11943477829</v>
      </c>
      <c r="AB30" s="116">
        <f t="shared" si="27"/>
        <v>121.90192067628378</v>
      </c>
      <c r="AC30" s="116">
        <f t="shared" si="28"/>
        <v>0</v>
      </c>
      <c r="AD30" s="119" t="str">
        <f t="shared" si="3"/>
        <v/>
      </c>
      <c r="AE30" s="119" t="str">
        <f t="shared" si="4"/>
        <v/>
      </c>
      <c r="AF30" s="93">
        <f t="shared" si="5"/>
        <v>0</v>
      </c>
      <c r="AG30" s="93">
        <f t="shared" si="6"/>
        <v>0</v>
      </c>
      <c r="AH30" s="120">
        <f t="shared" si="7"/>
        <v>0</v>
      </c>
      <c r="AI30" s="93">
        <f t="shared" si="8"/>
        <v>0</v>
      </c>
      <c r="AJ30" s="93">
        <f t="shared" si="9"/>
        <v>0</v>
      </c>
      <c r="AK30" s="120">
        <f t="shared" si="10"/>
        <v>0</v>
      </c>
      <c r="AL30" s="121"/>
      <c r="AM30" s="121"/>
    </row>
    <row r="31" spans="4:39" x14ac:dyDescent="0.3">
      <c r="D31" s="116">
        <v>28</v>
      </c>
      <c r="E31" s="116">
        <f t="shared" si="29"/>
        <v>0</v>
      </c>
      <c r="F31" s="116">
        <f t="shared" si="29"/>
        <v>0</v>
      </c>
      <c r="G31" s="117">
        <f t="shared" si="29"/>
        <v>0</v>
      </c>
      <c r="H31" s="116">
        <f t="shared" si="1"/>
        <v>0</v>
      </c>
      <c r="I31" s="116">
        <f t="shared" si="30"/>
        <v>0</v>
      </c>
      <c r="J31" s="116">
        <f t="shared" si="30"/>
        <v>0</v>
      </c>
      <c r="K31" s="116">
        <f t="shared" si="30"/>
        <v>0</v>
      </c>
      <c r="L31" s="116">
        <f t="shared" si="11"/>
        <v>0</v>
      </c>
      <c r="M31" s="116">
        <f t="shared" si="12"/>
        <v>8.1819191119888474E-2</v>
      </c>
      <c r="N31" s="116">
        <f t="shared" si="13"/>
        <v>8.2094438229770347E-2</v>
      </c>
      <c r="O31" s="116">
        <f t="shared" si="14"/>
        <v>1.0050525018226657</v>
      </c>
      <c r="P31" s="116">
        <f t="shared" si="15"/>
        <v>5.0631086318432056E-3</v>
      </c>
      <c r="Q31" s="116">
        <f t="shared" si="16"/>
        <v>1.0627590303618776E-5</v>
      </c>
      <c r="R31" s="116">
        <f t="shared" si="17"/>
        <v>2.0820378689919501E-8</v>
      </c>
      <c r="S31" s="116">
        <f t="shared" si="18"/>
        <v>3.9323714008920611E-11</v>
      </c>
      <c r="T31" s="116">
        <f t="shared" si="19"/>
        <v>6.5545480046391586E-14</v>
      </c>
      <c r="U31" s="116">
        <f t="shared" si="20"/>
        <v>0</v>
      </c>
      <c r="V31" s="116">
        <f t="shared" si="21"/>
        <v>7.249402448495651E-2</v>
      </c>
      <c r="W31" s="116">
        <f t="shared" si="22"/>
        <v>0</v>
      </c>
      <c r="X31" s="116">
        <f t="shared" si="23"/>
        <v>0</v>
      </c>
      <c r="Y31" s="116">
        <f t="shared" si="24"/>
        <v>0</v>
      </c>
      <c r="Z31" s="116">
        <f t="shared" si="25"/>
        <v>0</v>
      </c>
      <c r="AA31" s="116">
        <f t="shared" si="26"/>
        <v>309097.11943477829</v>
      </c>
      <c r="AB31" s="116">
        <f t="shared" si="27"/>
        <v>121.90192067628378</v>
      </c>
      <c r="AC31" s="116">
        <f t="shared" si="28"/>
        <v>0</v>
      </c>
      <c r="AD31" s="119" t="str">
        <f t="shared" si="3"/>
        <v/>
      </c>
      <c r="AE31" s="119" t="str">
        <f t="shared" si="4"/>
        <v/>
      </c>
      <c r="AF31" s="93">
        <f t="shared" si="5"/>
        <v>0</v>
      </c>
      <c r="AG31" s="93">
        <f t="shared" si="6"/>
        <v>0</v>
      </c>
      <c r="AH31" s="120">
        <f t="shared" si="7"/>
        <v>0</v>
      </c>
      <c r="AI31" s="93">
        <f t="shared" si="8"/>
        <v>0</v>
      </c>
      <c r="AJ31" s="93">
        <f t="shared" si="9"/>
        <v>0</v>
      </c>
      <c r="AK31" s="120">
        <f t="shared" si="10"/>
        <v>0</v>
      </c>
      <c r="AL31" s="121"/>
      <c r="AM31" s="121"/>
    </row>
    <row r="32" spans="4:39" x14ac:dyDescent="0.3">
      <c r="D32" s="116">
        <v>29</v>
      </c>
      <c r="E32" s="116">
        <f t="shared" si="29"/>
        <v>0</v>
      </c>
      <c r="F32" s="116">
        <f t="shared" si="29"/>
        <v>0</v>
      </c>
      <c r="G32" s="117">
        <f t="shared" si="29"/>
        <v>0</v>
      </c>
      <c r="H32" s="116">
        <f t="shared" si="1"/>
        <v>0</v>
      </c>
      <c r="I32" s="116">
        <f t="shared" si="30"/>
        <v>0</v>
      </c>
      <c r="J32" s="116">
        <f t="shared" si="30"/>
        <v>0</v>
      </c>
      <c r="K32" s="116">
        <f t="shared" si="30"/>
        <v>0</v>
      </c>
      <c r="L32" s="116">
        <f t="shared" si="11"/>
        <v>0</v>
      </c>
      <c r="M32" s="116">
        <f t="shared" si="12"/>
        <v>8.1819191119888474E-2</v>
      </c>
      <c r="N32" s="116">
        <f t="shared" si="13"/>
        <v>8.2094438229770347E-2</v>
      </c>
      <c r="O32" s="116">
        <f t="shared" si="14"/>
        <v>1.0050525018226657</v>
      </c>
      <c r="P32" s="116">
        <f t="shared" si="15"/>
        <v>5.0631086318432056E-3</v>
      </c>
      <c r="Q32" s="116">
        <f t="shared" si="16"/>
        <v>1.0627590303618776E-5</v>
      </c>
      <c r="R32" s="116">
        <f t="shared" si="17"/>
        <v>2.0820378689919501E-8</v>
      </c>
      <c r="S32" s="116">
        <f t="shared" si="18"/>
        <v>3.9323714008920611E-11</v>
      </c>
      <c r="T32" s="116">
        <f t="shared" si="19"/>
        <v>6.5545480046391586E-14</v>
      </c>
      <c r="U32" s="116">
        <f t="shared" si="20"/>
        <v>0</v>
      </c>
      <c r="V32" s="116">
        <f t="shared" si="21"/>
        <v>7.249402448495651E-2</v>
      </c>
      <c r="W32" s="116">
        <f t="shared" si="22"/>
        <v>0</v>
      </c>
      <c r="X32" s="116">
        <f t="shared" si="23"/>
        <v>0</v>
      </c>
      <c r="Y32" s="116">
        <f t="shared" si="24"/>
        <v>0</v>
      </c>
      <c r="Z32" s="116">
        <f t="shared" si="25"/>
        <v>0</v>
      </c>
      <c r="AA32" s="116">
        <f t="shared" si="26"/>
        <v>309097.11943477829</v>
      </c>
      <c r="AB32" s="116">
        <f t="shared" si="27"/>
        <v>121.90192067628378</v>
      </c>
      <c r="AC32" s="116">
        <f t="shared" si="28"/>
        <v>0</v>
      </c>
      <c r="AD32" s="119" t="str">
        <f t="shared" si="3"/>
        <v/>
      </c>
      <c r="AE32" s="119" t="str">
        <f t="shared" si="4"/>
        <v/>
      </c>
      <c r="AF32" s="93">
        <f t="shared" si="5"/>
        <v>0</v>
      </c>
      <c r="AG32" s="93">
        <f t="shared" si="6"/>
        <v>0</v>
      </c>
      <c r="AH32" s="120">
        <f t="shared" si="7"/>
        <v>0</v>
      </c>
      <c r="AI32" s="93">
        <f t="shared" si="8"/>
        <v>0</v>
      </c>
      <c r="AJ32" s="93">
        <f t="shared" si="9"/>
        <v>0</v>
      </c>
      <c r="AK32" s="120">
        <f t="shared" si="10"/>
        <v>0</v>
      </c>
      <c r="AL32" s="121"/>
      <c r="AM32" s="121"/>
    </row>
    <row r="33" spans="4:39" x14ac:dyDescent="0.3">
      <c r="D33" s="116">
        <v>30</v>
      </c>
      <c r="E33" s="116">
        <f t="shared" si="29"/>
        <v>0</v>
      </c>
      <c r="F33" s="116">
        <f t="shared" si="29"/>
        <v>0</v>
      </c>
      <c r="G33" s="117">
        <f t="shared" si="29"/>
        <v>0</v>
      </c>
      <c r="H33" s="116">
        <f t="shared" si="1"/>
        <v>0</v>
      </c>
      <c r="I33" s="116">
        <f t="shared" si="30"/>
        <v>0</v>
      </c>
      <c r="J33" s="116">
        <f t="shared" si="30"/>
        <v>0</v>
      </c>
      <c r="K33" s="116">
        <f t="shared" si="30"/>
        <v>0</v>
      </c>
      <c r="L33" s="116">
        <f t="shared" si="11"/>
        <v>0</v>
      </c>
      <c r="M33" s="116">
        <f t="shared" si="12"/>
        <v>8.1819191119888474E-2</v>
      </c>
      <c r="N33" s="116">
        <f t="shared" si="13"/>
        <v>8.2094438229770347E-2</v>
      </c>
      <c r="O33" s="116">
        <f t="shared" si="14"/>
        <v>1.0050525018226657</v>
      </c>
      <c r="P33" s="116">
        <f t="shared" si="15"/>
        <v>5.0631086318432056E-3</v>
      </c>
      <c r="Q33" s="116">
        <f t="shared" si="16"/>
        <v>1.0627590303618776E-5</v>
      </c>
      <c r="R33" s="116">
        <f t="shared" si="17"/>
        <v>2.0820378689919501E-8</v>
      </c>
      <c r="S33" s="116">
        <f t="shared" si="18"/>
        <v>3.9323714008920611E-11</v>
      </c>
      <c r="T33" s="116">
        <f t="shared" si="19"/>
        <v>6.5545480046391586E-14</v>
      </c>
      <c r="U33" s="116">
        <f t="shared" si="20"/>
        <v>0</v>
      </c>
      <c r="V33" s="116">
        <f t="shared" si="21"/>
        <v>7.249402448495651E-2</v>
      </c>
      <c r="W33" s="116">
        <f t="shared" si="22"/>
        <v>0</v>
      </c>
      <c r="X33" s="116">
        <f t="shared" si="23"/>
        <v>0</v>
      </c>
      <c r="Y33" s="116">
        <f t="shared" si="24"/>
        <v>0</v>
      </c>
      <c r="Z33" s="116">
        <f t="shared" si="25"/>
        <v>0</v>
      </c>
      <c r="AA33" s="116">
        <f t="shared" si="26"/>
        <v>309097.11943477829</v>
      </c>
      <c r="AB33" s="116">
        <f t="shared" si="27"/>
        <v>121.90192067628378</v>
      </c>
      <c r="AC33" s="116">
        <f t="shared" si="28"/>
        <v>0</v>
      </c>
      <c r="AD33" s="119" t="str">
        <f t="shared" si="3"/>
        <v/>
      </c>
      <c r="AE33" s="119" t="str">
        <f t="shared" si="4"/>
        <v/>
      </c>
      <c r="AF33" s="93">
        <f t="shared" si="5"/>
        <v>0</v>
      </c>
      <c r="AG33" s="93">
        <f t="shared" si="6"/>
        <v>0</v>
      </c>
      <c r="AH33" s="120">
        <f t="shared" si="7"/>
        <v>0</v>
      </c>
      <c r="AI33" s="93">
        <f t="shared" si="8"/>
        <v>0</v>
      </c>
      <c r="AJ33" s="93">
        <f t="shared" si="9"/>
        <v>0</v>
      </c>
      <c r="AK33" s="120">
        <f t="shared" si="10"/>
        <v>0</v>
      </c>
      <c r="AL33" s="121"/>
      <c r="AM33" s="121"/>
    </row>
    <row r="34" spans="4:39" x14ac:dyDescent="0.3">
      <c r="D34" s="116">
        <v>31</v>
      </c>
      <c r="E34" s="116">
        <f t="shared" si="29"/>
        <v>0</v>
      </c>
      <c r="F34" s="116">
        <f t="shared" si="29"/>
        <v>0</v>
      </c>
      <c r="G34" s="117">
        <f t="shared" si="29"/>
        <v>0</v>
      </c>
      <c r="H34" s="116">
        <f t="shared" si="1"/>
        <v>0</v>
      </c>
      <c r="I34" s="116">
        <f t="shared" si="30"/>
        <v>0</v>
      </c>
      <c r="J34" s="116">
        <f t="shared" si="30"/>
        <v>0</v>
      </c>
      <c r="K34" s="116">
        <f t="shared" si="30"/>
        <v>0</v>
      </c>
      <c r="L34" s="116">
        <f t="shared" si="11"/>
        <v>0</v>
      </c>
      <c r="M34" s="116">
        <f t="shared" si="12"/>
        <v>8.1819191119888474E-2</v>
      </c>
      <c r="N34" s="116">
        <f t="shared" si="13"/>
        <v>8.2094438229770347E-2</v>
      </c>
      <c r="O34" s="116">
        <f t="shared" si="14"/>
        <v>1.0050525018226657</v>
      </c>
      <c r="P34" s="116">
        <f t="shared" si="15"/>
        <v>5.0631086318432056E-3</v>
      </c>
      <c r="Q34" s="116">
        <f t="shared" si="16"/>
        <v>1.0627590303618776E-5</v>
      </c>
      <c r="R34" s="116">
        <f t="shared" si="17"/>
        <v>2.0820378689919501E-8</v>
      </c>
      <c r="S34" s="116">
        <f t="shared" si="18"/>
        <v>3.9323714008920611E-11</v>
      </c>
      <c r="T34" s="116">
        <f t="shared" si="19"/>
        <v>6.5545480046391586E-14</v>
      </c>
      <c r="U34" s="116">
        <f t="shared" si="20"/>
        <v>0</v>
      </c>
      <c r="V34" s="116">
        <f t="shared" si="21"/>
        <v>7.249402448495651E-2</v>
      </c>
      <c r="W34" s="116">
        <f t="shared" si="22"/>
        <v>0</v>
      </c>
      <c r="X34" s="116">
        <f t="shared" si="23"/>
        <v>0</v>
      </c>
      <c r="Y34" s="116">
        <f t="shared" si="24"/>
        <v>0</v>
      </c>
      <c r="Z34" s="116">
        <f t="shared" si="25"/>
        <v>0</v>
      </c>
      <c r="AA34" s="116">
        <f t="shared" si="26"/>
        <v>309097.11943477829</v>
      </c>
      <c r="AB34" s="116">
        <f t="shared" si="27"/>
        <v>121.90192067628378</v>
      </c>
      <c r="AC34" s="116">
        <f t="shared" si="28"/>
        <v>0</v>
      </c>
      <c r="AD34" s="119" t="str">
        <f t="shared" si="3"/>
        <v/>
      </c>
      <c r="AE34" s="119" t="str">
        <f t="shared" si="4"/>
        <v/>
      </c>
      <c r="AF34" s="93">
        <f t="shared" si="5"/>
        <v>0</v>
      </c>
      <c r="AG34" s="93">
        <f t="shared" si="6"/>
        <v>0</v>
      </c>
      <c r="AH34" s="120">
        <f t="shared" si="7"/>
        <v>0</v>
      </c>
      <c r="AI34" s="93">
        <f t="shared" si="8"/>
        <v>0</v>
      </c>
      <c r="AJ34" s="93">
        <f t="shared" si="9"/>
        <v>0</v>
      </c>
      <c r="AK34" s="120">
        <f t="shared" si="10"/>
        <v>0</v>
      </c>
      <c r="AL34" s="121"/>
      <c r="AM34" s="121"/>
    </row>
    <row r="35" spans="4:39" x14ac:dyDescent="0.3">
      <c r="D35" s="116">
        <v>32</v>
      </c>
      <c r="E35" s="116">
        <f t="shared" si="29"/>
        <v>0</v>
      </c>
      <c r="F35" s="116">
        <f t="shared" si="29"/>
        <v>0</v>
      </c>
      <c r="G35" s="117">
        <f t="shared" si="29"/>
        <v>0</v>
      </c>
      <c r="H35" s="116">
        <f t="shared" si="1"/>
        <v>0</v>
      </c>
      <c r="I35" s="116">
        <f t="shared" si="30"/>
        <v>0</v>
      </c>
      <c r="J35" s="116">
        <f t="shared" si="30"/>
        <v>0</v>
      </c>
      <c r="K35" s="116">
        <f t="shared" si="30"/>
        <v>0</v>
      </c>
      <c r="L35" s="116">
        <f t="shared" si="11"/>
        <v>0</v>
      </c>
      <c r="M35" s="116">
        <f t="shared" si="12"/>
        <v>8.1819191119888474E-2</v>
      </c>
      <c r="N35" s="116">
        <f t="shared" si="13"/>
        <v>8.2094438229770347E-2</v>
      </c>
      <c r="O35" s="116">
        <f t="shared" si="14"/>
        <v>1.0050525018226657</v>
      </c>
      <c r="P35" s="116">
        <f t="shared" si="15"/>
        <v>5.0631086318432056E-3</v>
      </c>
      <c r="Q35" s="116">
        <f t="shared" si="16"/>
        <v>1.0627590303618776E-5</v>
      </c>
      <c r="R35" s="116">
        <f t="shared" si="17"/>
        <v>2.0820378689919501E-8</v>
      </c>
      <c r="S35" s="116">
        <f t="shared" si="18"/>
        <v>3.9323714008920611E-11</v>
      </c>
      <c r="T35" s="116">
        <f t="shared" si="19"/>
        <v>6.5545480046391586E-14</v>
      </c>
      <c r="U35" s="116">
        <f t="shared" si="20"/>
        <v>0</v>
      </c>
      <c r="V35" s="116">
        <f t="shared" si="21"/>
        <v>7.249402448495651E-2</v>
      </c>
      <c r="W35" s="116">
        <f t="shared" si="22"/>
        <v>0</v>
      </c>
      <c r="X35" s="116">
        <f t="shared" si="23"/>
        <v>0</v>
      </c>
      <c r="Y35" s="116">
        <f t="shared" si="24"/>
        <v>0</v>
      </c>
      <c r="Z35" s="116">
        <f t="shared" si="25"/>
        <v>0</v>
      </c>
      <c r="AA35" s="116">
        <f t="shared" si="26"/>
        <v>309097.11943477829</v>
      </c>
      <c r="AB35" s="116">
        <f t="shared" si="27"/>
        <v>121.90192067628378</v>
      </c>
      <c r="AC35" s="116">
        <f t="shared" si="28"/>
        <v>0</v>
      </c>
      <c r="AD35" s="119" t="str">
        <f t="shared" si="3"/>
        <v/>
      </c>
      <c r="AE35" s="119" t="str">
        <f t="shared" si="4"/>
        <v/>
      </c>
      <c r="AF35" s="93">
        <f t="shared" si="5"/>
        <v>0</v>
      </c>
      <c r="AG35" s="93">
        <f t="shared" si="6"/>
        <v>0</v>
      </c>
      <c r="AH35" s="120">
        <f t="shared" si="7"/>
        <v>0</v>
      </c>
      <c r="AI35" s="93">
        <f t="shared" si="8"/>
        <v>0</v>
      </c>
      <c r="AJ35" s="93">
        <f t="shared" si="9"/>
        <v>0</v>
      </c>
      <c r="AK35" s="120">
        <f t="shared" si="10"/>
        <v>0</v>
      </c>
      <c r="AL35" s="121"/>
      <c r="AM35" s="121"/>
    </row>
    <row r="36" spans="4:39" x14ac:dyDescent="0.3">
      <c r="D36" s="116">
        <v>33</v>
      </c>
      <c r="E36" s="116">
        <f t="shared" si="29"/>
        <v>0</v>
      </c>
      <c r="F36" s="116">
        <f t="shared" si="29"/>
        <v>0</v>
      </c>
      <c r="G36" s="117">
        <f t="shared" si="29"/>
        <v>0</v>
      </c>
      <c r="H36" s="116">
        <f t="shared" si="1"/>
        <v>0</v>
      </c>
      <c r="I36" s="116">
        <f t="shared" si="30"/>
        <v>0</v>
      </c>
      <c r="J36" s="116">
        <f t="shared" si="30"/>
        <v>0</v>
      </c>
      <c r="K36" s="116">
        <f t="shared" si="30"/>
        <v>0</v>
      </c>
      <c r="L36" s="116">
        <f t="shared" si="11"/>
        <v>0</v>
      </c>
      <c r="M36" s="116">
        <f t="shared" si="12"/>
        <v>8.1819191119888474E-2</v>
      </c>
      <c r="N36" s="116">
        <f t="shared" si="13"/>
        <v>8.2094438229770347E-2</v>
      </c>
      <c r="O36" s="116">
        <f t="shared" si="14"/>
        <v>1.0050525018226657</v>
      </c>
      <c r="P36" s="116">
        <f t="shared" si="15"/>
        <v>5.0631086318432056E-3</v>
      </c>
      <c r="Q36" s="116">
        <f t="shared" si="16"/>
        <v>1.0627590303618776E-5</v>
      </c>
      <c r="R36" s="116">
        <f t="shared" si="17"/>
        <v>2.0820378689919501E-8</v>
      </c>
      <c r="S36" s="116">
        <f t="shared" si="18"/>
        <v>3.9323714008920611E-11</v>
      </c>
      <c r="T36" s="116">
        <f t="shared" si="19"/>
        <v>6.5545480046391586E-14</v>
      </c>
      <c r="U36" s="116">
        <f t="shared" si="20"/>
        <v>0</v>
      </c>
      <c r="V36" s="116">
        <f t="shared" si="21"/>
        <v>7.249402448495651E-2</v>
      </c>
      <c r="W36" s="116">
        <f t="shared" si="22"/>
        <v>0</v>
      </c>
      <c r="X36" s="116">
        <f t="shared" si="23"/>
        <v>0</v>
      </c>
      <c r="Y36" s="116">
        <f t="shared" si="24"/>
        <v>0</v>
      </c>
      <c r="Z36" s="116">
        <f t="shared" si="25"/>
        <v>0</v>
      </c>
      <c r="AA36" s="116">
        <f t="shared" si="26"/>
        <v>309097.11943477829</v>
      </c>
      <c r="AB36" s="116">
        <f t="shared" si="27"/>
        <v>121.90192067628378</v>
      </c>
      <c r="AC36" s="116">
        <f t="shared" si="28"/>
        <v>0</v>
      </c>
      <c r="AD36" s="119" t="str">
        <f t="shared" si="3"/>
        <v/>
      </c>
      <c r="AE36" s="119" t="str">
        <f t="shared" si="4"/>
        <v/>
      </c>
      <c r="AF36" s="93">
        <f t="shared" si="5"/>
        <v>0</v>
      </c>
      <c r="AG36" s="93">
        <f t="shared" si="6"/>
        <v>0</v>
      </c>
      <c r="AH36" s="120">
        <f t="shared" si="7"/>
        <v>0</v>
      </c>
      <c r="AI36" s="93">
        <f t="shared" si="8"/>
        <v>0</v>
      </c>
      <c r="AJ36" s="93">
        <f t="shared" si="9"/>
        <v>0</v>
      </c>
      <c r="AK36" s="120">
        <f t="shared" si="10"/>
        <v>0</v>
      </c>
      <c r="AL36" s="121"/>
      <c r="AM36" s="121"/>
    </row>
    <row r="37" spans="4:39" x14ac:dyDescent="0.3">
      <c r="D37" s="116">
        <v>34</v>
      </c>
      <c r="E37" s="116">
        <f t="shared" si="29"/>
        <v>0</v>
      </c>
      <c r="F37" s="116">
        <f t="shared" si="29"/>
        <v>0</v>
      </c>
      <c r="G37" s="117">
        <f t="shared" si="29"/>
        <v>0</v>
      </c>
      <c r="H37" s="116">
        <f t="shared" si="1"/>
        <v>0</v>
      </c>
      <c r="I37" s="116">
        <f t="shared" si="30"/>
        <v>0</v>
      </c>
      <c r="J37" s="116">
        <f t="shared" si="30"/>
        <v>0</v>
      </c>
      <c r="K37" s="116">
        <f t="shared" si="30"/>
        <v>0</v>
      </c>
      <c r="L37" s="116">
        <f t="shared" si="11"/>
        <v>0</v>
      </c>
      <c r="M37" s="116">
        <f t="shared" si="12"/>
        <v>8.1819191119888474E-2</v>
      </c>
      <c r="N37" s="116">
        <f t="shared" si="13"/>
        <v>8.2094438229770347E-2</v>
      </c>
      <c r="O37" s="116">
        <f t="shared" si="14"/>
        <v>1.0050525018226657</v>
      </c>
      <c r="P37" s="116">
        <f t="shared" si="15"/>
        <v>5.0631086318432056E-3</v>
      </c>
      <c r="Q37" s="116">
        <f t="shared" si="16"/>
        <v>1.0627590303618776E-5</v>
      </c>
      <c r="R37" s="116">
        <f t="shared" si="17"/>
        <v>2.0820378689919501E-8</v>
      </c>
      <c r="S37" s="116">
        <f t="shared" si="18"/>
        <v>3.9323714008920611E-11</v>
      </c>
      <c r="T37" s="116">
        <f t="shared" si="19"/>
        <v>6.5545480046391586E-14</v>
      </c>
      <c r="U37" s="116">
        <f t="shared" si="20"/>
        <v>0</v>
      </c>
      <c r="V37" s="116">
        <f t="shared" si="21"/>
        <v>7.249402448495651E-2</v>
      </c>
      <c r="W37" s="116">
        <f t="shared" si="22"/>
        <v>0</v>
      </c>
      <c r="X37" s="116">
        <f t="shared" si="23"/>
        <v>0</v>
      </c>
      <c r="Y37" s="116">
        <f t="shared" si="24"/>
        <v>0</v>
      </c>
      <c r="Z37" s="116">
        <f t="shared" si="25"/>
        <v>0</v>
      </c>
      <c r="AA37" s="116">
        <f t="shared" si="26"/>
        <v>309097.11943477829</v>
      </c>
      <c r="AB37" s="116">
        <f t="shared" si="27"/>
        <v>121.90192067628378</v>
      </c>
      <c r="AC37" s="116">
        <f t="shared" si="28"/>
        <v>0</v>
      </c>
      <c r="AD37" s="119" t="str">
        <f t="shared" si="3"/>
        <v/>
      </c>
      <c r="AE37" s="119" t="str">
        <f t="shared" si="4"/>
        <v/>
      </c>
      <c r="AF37" s="93">
        <f t="shared" si="5"/>
        <v>0</v>
      </c>
      <c r="AG37" s="93">
        <f t="shared" si="6"/>
        <v>0</v>
      </c>
      <c r="AH37" s="120">
        <f t="shared" si="7"/>
        <v>0</v>
      </c>
      <c r="AI37" s="93">
        <f t="shared" si="8"/>
        <v>0</v>
      </c>
      <c r="AJ37" s="93">
        <f t="shared" si="9"/>
        <v>0</v>
      </c>
      <c r="AK37" s="120">
        <f t="shared" si="10"/>
        <v>0</v>
      </c>
      <c r="AL37" s="121"/>
      <c r="AM37" s="121"/>
    </row>
    <row r="38" spans="4:39" x14ac:dyDescent="0.3">
      <c r="D38" s="116">
        <v>35</v>
      </c>
      <c r="E38" s="116">
        <f t="shared" si="29"/>
        <v>0</v>
      </c>
      <c r="F38" s="116">
        <f t="shared" si="29"/>
        <v>0</v>
      </c>
      <c r="G38" s="117">
        <f t="shared" si="29"/>
        <v>0</v>
      </c>
      <c r="H38" s="116">
        <f t="shared" si="1"/>
        <v>0</v>
      </c>
      <c r="I38" s="116">
        <f t="shared" si="30"/>
        <v>0</v>
      </c>
      <c r="J38" s="116">
        <f t="shared" si="30"/>
        <v>0</v>
      </c>
      <c r="K38" s="116">
        <f t="shared" si="30"/>
        <v>0</v>
      </c>
      <c r="L38" s="116">
        <f t="shared" si="11"/>
        <v>0</v>
      </c>
      <c r="M38" s="116">
        <f t="shared" si="12"/>
        <v>8.1819191119888474E-2</v>
      </c>
      <c r="N38" s="116">
        <f t="shared" si="13"/>
        <v>8.2094438229770347E-2</v>
      </c>
      <c r="O38" s="116">
        <f t="shared" si="14"/>
        <v>1.0050525018226657</v>
      </c>
      <c r="P38" s="116">
        <f t="shared" si="15"/>
        <v>5.0631086318432056E-3</v>
      </c>
      <c r="Q38" s="116">
        <f t="shared" si="16"/>
        <v>1.0627590303618776E-5</v>
      </c>
      <c r="R38" s="116">
        <f t="shared" si="17"/>
        <v>2.0820378689919501E-8</v>
      </c>
      <c r="S38" s="116">
        <f t="shared" si="18"/>
        <v>3.9323714008920611E-11</v>
      </c>
      <c r="T38" s="116">
        <f t="shared" si="19"/>
        <v>6.5545480046391586E-14</v>
      </c>
      <c r="U38" s="116">
        <f t="shared" si="20"/>
        <v>0</v>
      </c>
      <c r="V38" s="116">
        <f t="shared" si="21"/>
        <v>7.249402448495651E-2</v>
      </c>
      <c r="W38" s="116">
        <f t="shared" si="22"/>
        <v>0</v>
      </c>
      <c r="X38" s="116">
        <f t="shared" si="23"/>
        <v>0</v>
      </c>
      <c r="Y38" s="116">
        <f t="shared" si="24"/>
        <v>0</v>
      </c>
      <c r="Z38" s="116">
        <f t="shared" si="25"/>
        <v>0</v>
      </c>
      <c r="AA38" s="116">
        <f t="shared" si="26"/>
        <v>309097.11943477829</v>
      </c>
      <c r="AB38" s="116">
        <f t="shared" si="27"/>
        <v>121.90192067628378</v>
      </c>
      <c r="AC38" s="116">
        <f t="shared" si="28"/>
        <v>0</v>
      </c>
      <c r="AD38" s="119" t="str">
        <f t="shared" si="3"/>
        <v/>
      </c>
      <c r="AE38" s="119" t="str">
        <f t="shared" si="4"/>
        <v/>
      </c>
      <c r="AF38" s="93">
        <f t="shared" si="5"/>
        <v>0</v>
      </c>
      <c r="AG38" s="93">
        <f t="shared" si="6"/>
        <v>0</v>
      </c>
      <c r="AH38" s="120">
        <f t="shared" si="7"/>
        <v>0</v>
      </c>
      <c r="AI38" s="93">
        <f t="shared" si="8"/>
        <v>0</v>
      </c>
      <c r="AJ38" s="93">
        <f t="shared" si="9"/>
        <v>0</v>
      </c>
      <c r="AK38" s="120">
        <f t="shared" si="10"/>
        <v>0</v>
      </c>
      <c r="AL38" s="121"/>
      <c r="AM38" s="121"/>
    </row>
    <row r="39" spans="4:39" x14ac:dyDescent="0.3">
      <c r="D39" s="116">
        <v>36</v>
      </c>
      <c r="E39" s="116">
        <f t="shared" si="29"/>
        <v>0</v>
      </c>
      <c r="F39" s="116">
        <f t="shared" si="29"/>
        <v>0</v>
      </c>
      <c r="G39" s="117">
        <f t="shared" si="29"/>
        <v>0</v>
      </c>
      <c r="H39" s="116">
        <f t="shared" si="1"/>
        <v>0</v>
      </c>
      <c r="I39" s="116">
        <f t="shared" si="30"/>
        <v>0</v>
      </c>
      <c r="J39" s="116">
        <f t="shared" si="30"/>
        <v>0</v>
      </c>
      <c r="K39" s="116">
        <f t="shared" si="30"/>
        <v>0</v>
      </c>
      <c r="L39" s="116">
        <f t="shared" si="11"/>
        <v>0</v>
      </c>
      <c r="M39" s="116">
        <f t="shared" si="12"/>
        <v>8.1819191119888474E-2</v>
      </c>
      <c r="N39" s="116">
        <f t="shared" si="13"/>
        <v>8.2094438229770347E-2</v>
      </c>
      <c r="O39" s="116">
        <f t="shared" si="14"/>
        <v>1.0050525018226657</v>
      </c>
      <c r="P39" s="116">
        <f t="shared" si="15"/>
        <v>5.0631086318432056E-3</v>
      </c>
      <c r="Q39" s="116">
        <f t="shared" si="16"/>
        <v>1.0627590303618776E-5</v>
      </c>
      <c r="R39" s="116">
        <f t="shared" si="17"/>
        <v>2.0820378689919501E-8</v>
      </c>
      <c r="S39" s="116">
        <f t="shared" si="18"/>
        <v>3.9323714008920611E-11</v>
      </c>
      <c r="T39" s="116">
        <f t="shared" si="19"/>
        <v>6.5545480046391586E-14</v>
      </c>
      <c r="U39" s="116">
        <f t="shared" si="20"/>
        <v>0</v>
      </c>
      <c r="V39" s="116">
        <f t="shared" si="21"/>
        <v>7.249402448495651E-2</v>
      </c>
      <c r="W39" s="116">
        <f t="shared" si="22"/>
        <v>0</v>
      </c>
      <c r="X39" s="116">
        <f t="shared" si="23"/>
        <v>0</v>
      </c>
      <c r="Y39" s="116">
        <f t="shared" si="24"/>
        <v>0</v>
      </c>
      <c r="Z39" s="116">
        <f t="shared" si="25"/>
        <v>0</v>
      </c>
      <c r="AA39" s="116">
        <f t="shared" si="26"/>
        <v>309097.11943477829</v>
      </c>
      <c r="AB39" s="116">
        <f t="shared" si="27"/>
        <v>121.90192067628378</v>
      </c>
      <c r="AC39" s="116">
        <f t="shared" si="28"/>
        <v>0</v>
      </c>
      <c r="AD39" s="119" t="str">
        <f t="shared" si="3"/>
        <v/>
      </c>
      <c r="AE39" s="119" t="str">
        <f t="shared" si="4"/>
        <v/>
      </c>
      <c r="AF39" s="93">
        <f t="shared" si="5"/>
        <v>0</v>
      </c>
      <c r="AG39" s="93">
        <f t="shared" si="6"/>
        <v>0</v>
      </c>
      <c r="AH39" s="120">
        <f t="shared" si="7"/>
        <v>0</v>
      </c>
      <c r="AI39" s="93">
        <f t="shared" si="8"/>
        <v>0</v>
      </c>
      <c r="AJ39" s="93">
        <f t="shared" si="9"/>
        <v>0</v>
      </c>
      <c r="AK39" s="120">
        <f t="shared" si="10"/>
        <v>0</v>
      </c>
      <c r="AL39" s="121"/>
      <c r="AM39" s="121"/>
    </row>
    <row r="40" spans="4:39" x14ac:dyDescent="0.3">
      <c r="D40" s="116">
        <v>37</v>
      </c>
      <c r="E40" s="116">
        <f t="shared" si="29"/>
        <v>0</v>
      </c>
      <c r="F40" s="116">
        <f t="shared" si="29"/>
        <v>0</v>
      </c>
      <c r="G40" s="117">
        <f t="shared" si="29"/>
        <v>0</v>
      </c>
      <c r="H40" s="116">
        <f t="shared" si="1"/>
        <v>0</v>
      </c>
      <c r="I40" s="116">
        <f t="shared" si="30"/>
        <v>0</v>
      </c>
      <c r="J40" s="116">
        <f t="shared" si="30"/>
        <v>0</v>
      </c>
      <c r="K40" s="116">
        <f t="shared" si="30"/>
        <v>0</v>
      </c>
      <c r="L40" s="116">
        <f t="shared" si="11"/>
        <v>0</v>
      </c>
      <c r="M40" s="116">
        <f t="shared" si="12"/>
        <v>8.1819191119888474E-2</v>
      </c>
      <c r="N40" s="116">
        <f t="shared" si="13"/>
        <v>8.2094438229770347E-2</v>
      </c>
      <c r="O40" s="116">
        <f t="shared" si="14"/>
        <v>1.0050525018226657</v>
      </c>
      <c r="P40" s="116">
        <f t="shared" si="15"/>
        <v>5.0631086318432056E-3</v>
      </c>
      <c r="Q40" s="116">
        <f t="shared" si="16"/>
        <v>1.0627590303618776E-5</v>
      </c>
      <c r="R40" s="116">
        <f t="shared" si="17"/>
        <v>2.0820378689919501E-8</v>
      </c>
      <c r="S40" s="116">
        <f t="shared" si="18"/>
        <v>3.9323714008920611E-11</v>
      </c>
      <c r="T40" s="116">
        <f t="shared" si="19"/>
        <v>6.5545480046391586E-14</v>
      </c>
      <c r="U40" s="116">
        <f t="shared" si="20"/>
        <v>0</v>
      </c>
      <c r="V40" s="116">
        <f t="shared" si="21"/>
        <v>7.249402448495651E-2</v>
      </c>
      <c r="W40" s="116">
        <f t="shared" si="22"/>
        <v>0</v>
      </c>
      <c r="X40" s="116">
        <f t="shared" si="23"/>
        <v>0</v>
      </c>
      <c r="Y40" s="116">
        <f t="shared" si="24"/>
        <v>0</v>
      </c>
      <c r="Z40" s="116">
        <f t="shared" si="25"/>
        <v>0</v>
      </c>
      <c r="AA40" s="116">
        <f t="shared" si="26"/>
        <v>309097.11943477829</v>
      </c>
      <c r="AB40" s="116">
        <f t="shared" si="27"/>
        <v>121.90192067628378</v>
      </c>
      <c r="AC40" s="116">
        <f t="shared" si="28"/>
        <v>0</v>
      </c>
      <c r="AD40" s="119" t="str">
        <f t="shared" si="3"/>
        <v/>
      </c>
      <c r="AE40" s="119" t="str">
        <f t="shared" si="4"/>
        <v/>
      </c>
      <c r="AF40" s="93">
        <f t="shared" si="5"/>
        <v>0</v>
      </c>
      <c r="AG40" s="93">
        <f t="shared" si="6"/>
        <v>0</v>
      </c>
      <c r="AH40" s="120">
        <f t="shared" si="7"/>
        <v>0</v>
      </c>
      <c r="AI40" s="93">
        <f t="shared" si="8"/>
        <v>0</v>
      </c>
      <c r="AJ40" s="93">
        <f t="shared" si="9"/>
        <v>0</v>
      </c>
      <c r="AK40" s="120">
        <f t="shared" si="10"/>
        <v>0</v>
      </c>
      <c r="AL40" s="121"/>
      <c r="AM40" s="121"/>
    </row>
    <row r="41" spans="4:39" x14ac:dyDescent="0.3">
      <c r="D41" s="116">
        <v>38</v>
      </c>
      <c r="E41" s="116">
        <f t="shared" si="29"/>
        <v>0</v>
      </c>
      <c r="F41" s="116">
        <f t="shared" si="29"/>
        <v>0</v>
      </c>
      <c r="G41" s="117">
        <f t="shared" si="29"/>
        <v>0</v>
      </c>
      <c r="H41" s="116">
        <f t="shared" si="1"/>
        <v>0</v>
      </c>
      <c r="I41" s="116">
        <f t="shared" si="30"/>
        <v>0</v>
      </c>
      <c r="J41" s="116">
        <f t="shared" si="30"/>
        <v>0</v>
      </c>
      <c r="K41" s="116">
        <f t="shared" si="30"/>
        <v>0</v>
      </c>
      <c r="L41" s="116">
        <f t="shared" si="11"/>
        <v>0</v>
      </c>
      <c r="M41" s="116">
        <f t="shared" si="12"/>
        <v>8.1819191119888474E-2</v>
      </c>
      <c r="N41" s="116">
        <f t="shared" si="13"/>
        <v>8.2094438229770347E-2</v>
      </c>
      <c r="O41" s="116">
        <f t="shared" si="14"/>
        <v>1.0050525018226657</v>
      </c>
      <c r="P41" s="116">
        <f t="shared" si="15"/>
        <v>5.0631086318432056E-3</v>
      </c>
      <c r="Q41" s="116">
        <f t="shared" si="16"/>
        <v>1.0627590303618776E-5</v>
      </c>
      <c r="R41" s="116">
        <f t="shared" si="17"/>
        <v>2.0820378689919501E-8</v>
      </c>
      <c r="S41" s="116">
        <f t="shared" si="18"/>
        <v>3.9323714008920611E-11</v>
      </c>
      <c r="T41" s="116">
        <f t="shared" si="19"/>
        <v>6.5545480046391586E-14</v>
      </c>
      <c r="U41" s="116">
        <f t="shared" si="20"/>
        <v>0</v>
      </c>
      <c r="V41" s="116">
        <f t="shared" si="21"/>
        <v>7.249402448495651E-2</v>
      </c>
      <c r="W41" s="116">
        <f t="shared" si="22"/>
        <v>0</v>
      </c>
      <c r="X41" s="116">
        <f t="shared" si="23"/>
        <v>0</v>
      </c>
      <c r="Y41" s="116">
        <f t="shared" si="24"/>
        <v>0</v>
      </c>
      <c r="Z41" s="116">
        <f t="shared" si="25"/>
        <v>0</v>
      </c>
      <c r="AA41" s="116">
        <f t="shared" si="26"/>
        <v>309097.11943477829</v>
      </c>
      <c r="AB41" s="116">
        <f t="shared" si="27"/>
        <v>121.90192067628378</v>
      </c>
      <c r="AC41" s="116">
        <f t="shared" si="28"/>
        <v>0</v>
      </c>
      <c r="AD41" s="119" t="str">
        <f t="shared" si="3"/>
        <v/>
      </c>
      <c r="AE41" s="119" t="str">
        <f t="shared" si="4"/>
        <v/>
      </c>
      <c r="AF41" s="93">
        <f t="shared" si="5"/>
        <v>0</v>
      </c>
      <c r="AG41" s="93">
        <f t="shared" si="6"/>
        <v>0</v>
      </c>
      <c r="AH41" s="120">
        <f t="shared" si="7"/>
        <v>0</v>
      </c>
      <c r="AI41" s="93">
        <f t="shared" si="8"/>
        <v>0</v>
      </c>
      <c r="AJ41" s="93">
        <f t="shared" si="9"/>
        <v>0</v>
      </c>
      <c r="AK41" s="120">
        <f t="shared" si="10"/>
        <v>0</v>
      </c>
      <c r="AL41" s="121"/>
      <c r="AM41" s="121"/>
    </row>
    <row r="42" spans="4:39" x14ac:dyDescent="0.3">
      <c r="D42" s="116">
        <v>39</v>
      </c>
      <c r="E42" s="116">
        <f t="shared" si="29"/>
        <v>0</v>
      </c>
      <c r="F42" s="116">
        <f t="shared" si="29"/>
        <v>0</v>
      </c>
      <c r="G42" s="117">
        <f t="shared" si="29"/>
        <v>0</v>
      </c>
      <c r="H42" s="116">
        <f t="shared" si="1"/>
        <v>0</v>
      </c>
      <c r="I42" s="116">
        <f t="shared" si="30"/>
        <v>0</v>
      </c>
      <c r="J42" s="116">
        <f t="shared" si="30"/>
        <v>0</v>
      </c>
      <c r="K42" s="116">
        <f t="shared" si="30"/>
        <v>0</v>
      </c>
      <c r="L42" s="116">
        <f t="shared" si="11"/>
        <v>0</v>
      </c>
      <c r="M42" s="116">
        <f t="shared" si="12"/>
        <v>8.1819191119888474E-2</v>
      </c>
      <c r="N42" s="116">
        <f t="shared" si="13"/>
        <v>8.2094438229770347E-2</v>
      </c>
      <c r="O42" s="116">
        <f t="shared" si="14"/>
        <v>1.0050525018226657</v>
      </c>
      <c r="P42" s="116">
        <f t="shared" si="15"/>
        <v>5.0631086318432056E-3</v>
      </c>
      <c r="Q42" s="116">
        <f t="shared" si="16"/>
        <v>1.0627590303618776E-5</v>
      </c>
      <c r="R42" s="116">
        <f t="shared" si="17"/>
        <v>2.0820378689919501E-8</v>
      </c>
      <c r="S42" s="116">
        <f t="shared" si="18"/>
        <v>3.9323714008920611E-11</v>
      </c>
      <c r="T42" s="116">
        <f t="shared" si="19"/>
        <v>6.5545480046391586E-14</v>
      </c>
      <c r="U42" s="116">
        <f t="shared" si="20"/>
        <v>0</v>
      </c>
      <c r="V42" s="116">
        <f t="shared" si="21"/>
        <v>7.249402448495651E-2</v>
      </c>
      <c r="W42" s="116">
        <f t="shared" si="22"/>
        <v>0</v>
      </c>
      <c r="X42" s="116">
        <f t="shared" si="23"/>
        <v>0</v>
      </c>
      <c r="Y42" s="116">
        <f t="shared" si="24"/>
        <v>0</v>
      </c>
      <c r="Z42" s="116">
        <f t="shared" si="25"/>
        <v>0</v>
      </c>
      <c r="AA42" s="116">
        <f t="shared" si="26"/>
        <v>309097.11943477829</v>
      </c>
      <c r="AB42" s="116">
        <f t="shared" si="27"/>
        <v>121.90192067628378</v>
      </c>
      <c r="AC42" s="116">
        <f t="shared" si="28"/>
        <v>0</v>
      </c>
      <c r="AD42" s="119" t="str">
        <f t="shared" si="3"/>
        <v/>
      </c>
      <c r="AE42" s="119" t="str">
        <f t="shared" si="4"/>
        <v/>
      </c>
      <c r="AF42" s="93">
        <f t="shared" si="5"/>
        <v>0</v>
      </c>
      <c r="AG42" s="93">
        <f t="shared" si="6"/>
        <v>0</v>
      </c>
      <c r="AH42" s="120">
        <f t="shared" si="7"/>
        <v>0</v>
      </c>
      <c r="AI42" s="93">
        <f t="shared" si="8"/>
        <v>0</v>
      </c>
      <c r="AJ42" s="93">
        <f t="shared" si="9"/>
        <v>0</v>
      </c>
      <c r="AK42" s="120">
        <f t="shared" si="10"/>
        <v>0</v>
      </c>
      <c r="AL42" s="121"/>
      <c r="AM42" s="121"/>
    </row>
    <row r="43" spans="4:39" x14ac:dyDescent="0.3">
      <c r="D43" s="116">
        <v>40</v>
      </c>
      <c r="E43" s="116">
        <f t="shared" si="29"/>
        <v>0</v>
      </c>
      <c r="F43" s="116">
        <f t="shared" si="29"/>
        <v>0</v>
      </c>
      <c r="G43" s="117">
        <f t="shared" si="29"/>
        <v>0</v>
      </c>
      <c r="H43" s="116">
        <f t="shared" si="1"/>
        <v>0</v>
      </c>
      <c r="I43" s="116">
        <f t="shared" si="30"/>
        <v>0</v>
      </c>
      <c r="J43" s="116">
        <f t="shared" si="30"/>
        <v>0</v>
      </c>
      <c r="K43" s="116">
        <f t="shared" si="30"/>
        <v>0</v>
      </c>
      <c r="L43" s="116">
        <f t="shared" si="11"/>
        <v>0</v>
      </c>
      <c r="M43" s="116">
        <f t="shared" si="12"/>
        <v>8.1819191119888474E-2</v>
      </c>
      <c r="N43" s="116">
        <f t="shared" si="13"/>
        <v>8.2094438229770347E-2</v>
      </c>
      <c r="O43" s="116">
        <f t="shared" si="14"/>
        <v>1.0050525018226657</v>
      </c>
      <c r="P43" s="116">
        <f t="shared" si="15"/>
        <v>5.0631086318432056E-3</v>
      </c>
      <c r="Q43" s="116">
        <f t="shared" si="16"/>
        <v>1.0627590303618776E-5</v>
      </c>
      <c r="R43" s="116">
        <f t="shared" si="17"/>
        <v>2.0820378689919501E-8</v>
      </c>
      <c r="S43" s="116">
        <f t="shared" si="18"/>
        <v>3.9323714008920611E-11</v>
      </c>
      <c r="T43" s="116">
        <f t="shared" si="19"/>
        <v>6.5545480046391586E-14</v>
      </c>
      <c r="U43" s="116">
        <f t="shared" si="20"/>
        <v>0</v>
      </c>
      <c r="V43" s="116">
        <f t="shared" si="21"/>
        <v>7.249402448495651E-2</v>
      </c>
      <c r="W43" s="116">
        <f t="shared" si="22"/>
        <v>0</v>
      </c>
      <c r="X43" s="116">
        <f t="shared" si="23"/>
        <v>0</v>
      </c>
      <c r="Y43" s="116">
        <f t="shared" si="24"/>
        <v>0</v>
      </c>
      <c r="Z43" s="116">
        <f t="shared" si="25"/>
        <v>0</v>
      </c>
      <c r="AA43" s="116">
        <f t="shared" si="26"/>
        <v>309097.11943477829</v>
      </c>
      <c r="AB43" s="116">
        <f t="shared" si="27"/>
        <v>121.90192067628378</v>
      </c>
      <c r="AC43" s="116">
        <f t="shared" si="28"/>
        <v>0</v>
      </c>
      <c r="AD43" s="119" t="str">
        <f t="shared" si="3"/>
        <v/>
      </c>
      <c r="AE43" s="119" t="str">
        <f t="shared" si="4"/>
        <v/>
      </c>
      <c r="AF43" s="93">
        <f t="shared" si="5"/>
        <v>0</v>
      </c>
      <c r="AG43" s="93">
        <f t="shared" si="6"/>
        <v>0</v>
      </c>
      <c r="AH43" s="120">
        <f t="shared" si="7"/>
        <v>0</v>
      </c>
      <c r="AI43" s="93">
        <f t="shared" si="8"/>
        <v>0</v>
      </c>
      <c r="AJ43" s="93">
        <f t="shared" si="9"/>
        <v>0</v>
      </c>
      <c r="AK43" s="120">
        <f t="shared" si="10"/>
        <v>0</v>
      </c>
      <c r="AL43" s="121"/>
      <c r="AM43" s="121"/>
    </row>
    <row r="44" spans="4:39" x14ac:dyDescent="0.3">
      <c r="D44" s="116">
        <v>41</v>
      </c>
      <c r="E44" s="116">
        <f t="shared" si="29"/>
        <v>0</v>
      </c>
      <c r="F44" s="116">
        <f t="shared" si="29"/>
        <v>0</v>
      </c>
      <c r="G44" s="117">
        <f t="shared" si="29"/>
        <v>0</v>
      </c>
      <c r="H44" s="116">
        <f t="shared" si="1"/>
        <v>0</v>
      </c>
      <c r="I44" s="116">
        <f t="shared" si="30"/>
        <v>0</v>
      </c>
      <c r="J44" s="116">
        <f t="shared" si="30"/>
        <v>0</v>
      </c>
      <c r="K44" s="116">
        <f t="shared" si="30"/>
        <v>0</v>
      </c>
      <c r="L44" s="116">
        <f t="shared" si="11"/>
        <v>0</v>
      </c>
      <c r="M44" s="116">
        <f t="shared" si="12"/>
        <v>8.1819191119888474E-2</v>
      </c>
      <c r="N44" s="116">
        <f t="shared" si="13"/>
        <v>8.2094438229770347E-2</v>
      </c>
      <c r="O44" s="116">
        <f t="shared" si="14"/>
        <v>1.0050525018226657</v>
      </c>
      <c r="P44" s="116">
        <f t="shared" si="15"/>
        <v>5.0631086318432056E-3</v>
      </c>
      <c r="Q44" s="116">
        <f t="shared" si="16"/>
        <v>1.0627590303618776E-5</v>
      </c>
      <c r="R44" s="116">
        <f t="shared" si="17"/>
        <v>2.0820378689919501E-8</v>
      </c>
      <c r="S44" s="116">
        <f t="shared" si="18"/>
        <v>3.9323714008920611E-11</v>
      </c>
      <c r="T44" s="116">
        <f t="shared" si="19"/>
        <v>6.5545480046391586E-14</v>
      </c>
      <c r="U44" s="116">
        <f t="shared" si="20"/>
        <v>0</v>
      </c>
      <c r="V44" s="116">
        <f t="shared" si="21"/>
        <v>7.249402448495651E-2</v>
      </c>
      <c r="W44" s="116">
        <f t="shared" si="22"/>
        <v>0</v>
      </c>
      <c r="X44" s="116">
        <f t="shared" si="23"/>
        <v>0</v>
      </c>
      <c r="Y44" s="116">
        <f t="shared" si="24"/>
        <v>0</v>
      </c>
      <c r="Z44" s="116">
        <f t="shared" si="25"/>
        <v>0</v>
      </c>
      <c r="AA44" s="116">
        <f t="shared" si="26"/>
        <v>309097.11943477829</v>
      </c>
      <c r="AB44" s="116">
        <f t="shared" si="27"/>
        <v>121.90192067628378</v>
      </c>
      <c r="AC44" s="116">
        <f t="shared" si="28"/>
        <v>0</v>
      </c>
      <c r="AD44" s="119" t="str">
        <f t="shared" si="3"/>
        <v/>
      </c>
      <c r="AE44" s="119" t="str">
        <f t="shared" si="4"/>
        <v/>
      </c>
      <c r="AF44" s="93">
        <f t="shared" si="5"/>
        <v>0</v>
      </c>
      <c r="AG44" s="93">
        <f t="shared" si="6"/>
        <v>0</v>
      </c>
      <c r="AH44" s="120">
        <f t="shared" si="7"/>
        <v>0</v>
      </c>
      <c r="AI44" s="93">
        <f t="shared" si="8"/>
        <v>0</v>
      </c>
      <c r="AJ44" s="93">
        <f t="shared" si="9"/>
        <v>0</v>
      </c>
      <c r="AK44" s="120">
        <f t="shared" si="10"/>
        <v>0</v>
      </c>
      <c r="AL44" s="121"/>
      <c r="AM44" s="121"/>
    </row>
    <row r="45" spans="4:39" x14ac:dyDescent="0.3">
      <c r="D45" s="116">
        <v>42</v>
      </c>
      <c r="E45" s="116">
        <f t="shared" si="29"/>
        <v>0</v>
      </c>
      <c r="F45" s="116">
        <f t="shared" si="29"/>
        <v>0</v>
      </c>
      <c r="G45" s="117">
        <f t="shared" si="29"/>
        <v>0</v>
      </c>
      <c r="H45" s="116">
        <f t="shared" si="1"/>
        <v>0</v>
      </c>
      <c r="I45" s="116">
        <f t="shared" si="30"/>
        <v>0</v>
      </c>
      <c r="J45" s="116">
        <f t="shared" si="30"/>
        <v>0</v>
      </c>
      <c r="K45" s="116">
        <f t="shared" si="30"/>
        <v>0</v>
      </c>
      <c r="L45" s="116">
        <f t="shared" si="11"/>
        <v>0</v>
      </c>
      <c r="M45" s="116">
        <f t="shared" si="12"/>
        <v>8.1819191119888474E-2</v>
      </c>
      <c r="N45" s="116">
        <f t="shared" si="13"/>
        <v>8.2094438229770347E-2</v>
      </c>
      <c r="O45" s="116">
        <f t="shared" si="14"/>
        <v>1.0050525018226657</v>
      </c>
      <c r="P45" s="116">
        <f t="shared" si="15"/>
        <v>5.0631086318432056E-3</v>
      </c>
      <c r="Q45" s="116">
        <f t="shared" si="16"/>
        <v>1.0627590303618776E-5</v>
      </c>
      <c r="R45" s="116">
        <f t="shared" si="17"/>
        <v>2.0820378689919501E-8</v>
      </c>
      <c r="S45" s="116">
        <f t="shared" si="18"/>
        <v>3.9323714008920611E-11</v>
      </c>
      <c r="T45" s="116">
        <f t="shared" si="19"/>
        <v>6.5545480046391586E-14</v>
      </c>
      <c r="U45" s="116">
        <f t="shared" si="20"/>
        <v>0</v>
      </c>
      <c r="V45" s="116">
        <f t="shared" si="21"/>
        <v>7.249402448495651E-2</v>
      </c>
      <c r="W45" s="116">
        <f t="shared" si="22"/>
        <v>0</v>
      </c>
      <c r="X45" s="116">
        <f t="shared" si="23"/>
        <v>0</v>
      </c>
      <c r="Y45" s="116">
        <f t="shared" si="24"/>
        <v>0</v>
      </c>
      <c r="Z45" s="116">
        <f t="shared" si="25"/>
        <v>0</v>
      </c>
      <c r="AA45" s="116">
        <f t="shared" si="26"/>
        <v>309097.11943477829</v>
      </c>
      <c r="AB45" s="116">
        <f t="shared" si="27"/>
        <v>121.90192067628378</v>
      </c>
      <c r="AC45" s="116">
        <f t="shared" si="28"/>
        <v>0</v>
      </c>
      <c r="AD45" s="119" t="str">
        <f t="shared" si="3"/>
        <v/>
      </c>
      <c r="AE45" s="119" t="str">
        <f t="shared" si="4"/>
        <v/>
      </c>
      <c r="AF45" s="93">
        <f t="shared" si="5"/>
        <v>0</v>
      </c>
      <c r="AG45" s="93">
        <f t="shared" si="6"/>
        <v>0</v>
      </c>
      <c r="AH45" s="120">
        <f t="shared" si="7"/>
        <v>0</v>
      </c>
      <c r="AI45" s="93">
        <f t="shared" si="8"/>
        <v>0</v>
      </c>
      <c r="AJ45" s="93">
        <f t="shared" si="9"/>
        <v>0</v>
      </c>
      <c r="AK45" s="120">
        <f t="shared" si="10"/>
        <v>0</v>
      </c>
      <c r="AL45" s="121"/>
      <c r="AM45" s="121"/>
    </row>
    <row r="46" spans="4:39" x14ac:dyDescent="0.3">
      <c r="D46" s="116">
        <v>43</v>
      </c>
      <c r="E46" s="116">
        <f t="shared" si="29"/>
        <v>0</v>
      </c>
      <c r="F46" s="116">
        <f t="shared" si="29"/>
        <v>0</v>
      </c>
      <c r="G46" s="117">
        <f t="shared" si="29"/>
        <v>0</v>
      </c>
      <c r="H46" s="116">
        <f t="shared" si="1"/>
        <v>0</v>
      </c>
      <c r="I46" s="116">
        <f t="shared" si="30"/>
        <v>0</v>
      </c>
      <c r="J46" s="116">
        <f t="shared" si="30"/>
        <v>0</v>
      </c>
      <c r="K46" s="116">
        <f t="shared" si="30"/>
        <v>0</v>
      </c>
      <c r="L46" s="116">
        <f t="shared" si="11"/>
        <v>0</v>
      </c>
      <c r="M46" s="116">
        <f t="shared" si="12"/>
        <v>8.1819191119888474E-2</v>
      </c>
      <c r="N46" s="116">
        <f t="shared" si="13"/>
        <v>8.2094438229770347E-2</v>
      </c>
      <c r="O46" s="116">
        <f t="shared" si="14"/>
        <v>1.0050525018226657</v>
      </c>
      <c r="P46" s="116">
        <f t="shared" si="15"/>
        <v>5.0631086318432056E-3</v>
      </c>
      <c r="Q46" s="116">
        <f t="shared" si="16"/>
        <v>1.0627590303618776E-5</v>
      </c>
      <c r="R46" s="116">
        <f t="shared" si="17"/>
        <v>2.0820378689919501E-8</v>
      </c>
      <c r="S46" s="116">
        <f t="shared" si="18"/>
        <v>3.9323714008920611E-11</v>
      </c>
      <c r="T46" s="116">
        <f t="shared" si="19"/>
        <v>6.5545480046391586E-14</v>
      </c>
      <c r="U46" s="116">
        <f t="shared" si="20"/>
        <v>0</v>
      </c>
      <c r="V46" s="116">
        <f t="shared" si="21"/>
        <v>7.249402448495651E-2</v>
      </c>
      <c r="W46" s="116">
        <f t="shared" si="22"/>
        <v>0</v>
      </c>
      <c r="X46" s="116">
        <f t="shared" si="23"/>
        <v>0</v>
      </c>
      <c r="Y46" s="116">
        <f t="shared" si="24"/>
        <v>0</v>
      </c>
      <c r="Z46" s="116">
        <f t="shared" si="25"/>
        <v>0</v>
      </c>
      <c r="AA46" s="116">
        <f t="shared" si="26"/>
        <v>309097.11943477829</v>
      </c>
      <c r="AB46" s="116">
        <f t="shared" si="27"/>
        <v>121.90192067628378</v>
      </c>
      <c r="AC46" s="116">
        <f t="shared" si="28"/>
        <v>0</v>
      </c>
      <c r="AD46" s="119" t="str">
        <f t="shared" si="3"/>
        <v/>
      </c>
      <c r="AE46" s="119" t="str">
        <f t="shared" si="4"/>
        <v/>
      </c>
      <c r="AF46" s="93">
        <f t="shared" si="5"/>
        <v>0</v>
      </c>
      <c r="AG46" s="93">
        <f t="shared" si="6"/>
        <v>0</v>
      </c>
      <c r="AH46" s="120">
        <f t="shared" si="7"/>
        <v>0</v>
      </c>
      <c r="AI46" s="93">
        <f t="shared" si="8"/>
        <v>0</v>
      </c>
      <c r="AJ46" s="93">
        <f t="shared" si="9"/>
        <v>0</v>
      </c>
      <c r="AK46" s="120">
        <f t="shared" si="10"/>
        <v>0</v>
      </c>
      <c r="AL46" s="121"/>
      <c r="AM46" s="121"/>
    </row>
    <row r="47" spans="4:39" x14ac:dyDescent="0.3">
      <c r="D47" s="116">
        <v>44</v>
      </c>
      <c r="E47" s="116">
        <f t="shared" si="29"/>
        <v>0</v>
      </c>
      <c r="F47" s="116">
        <f t="shared" si="29"/>
        <v>0</v>
      </c>
      <c r="G47" s="117">
        <f t="shared" si="29"/>
        <v>0</v>
      </c>
      <c r="H47" s="116">
        <f t="shared" si="1"/>
        <v>0</v>
      </c>
      <c r="I47" s="116">
        <f t="shared" si="30"/>
        <v>0</v>
      </c>
      <c r="J47" s="116">
        <f t="shared" si="30"/>
        <v>0</v>
      </c>
      <c r="K47" s="116">
        <f t="shared" si="30"/>
        <v>0</v>
      </c>
      <c r="L47" s="116">
        <f t="shared" si="11"/>
        <v>0</v>
      </c>
      <c r="M47" s="116">
        <f t="shared" si="12"/>
        <v>8.1819191119888474E-2</v>
      </c>
      <c r="N47" s="116">
        <f t="shared" si="13"/>
        <v>8.2094438229770347E-2</v>
      </c>
      <c r="O47" s="116">
        <f t="shared" si="14"/>
        <v>1.0050525018226657</v>
      </c>
      <c r="P47" s="116">
        <f t="shared" si="15"/>
        <v>5.0631086318432056E-3</v>
      </c>
      <c r="Q47" s="116">
        <f t="shared" si="16"/>
        <v>1.0627590303618776E-5</v>
      </c>
      <c r="R47" s="116">
        <f t="shared" si="17"/>
        <v>2.0820378689919501E-8</v>
      </c>
      <c r="S47" s="116">
        <f t="shared" si="18"/>
        <v>3.9323714008920611E-11</v>
      </c>
      <c r="T47" s="116">
        <f t="shared" si="19"/>
        <v>6.5545480046391586E-14</v>
      </c>
      <c r="U47" s="116">
        <f t="shared" si="20"/>
        <v>0</v>
      </c>
      <c r="V47" s="116">
        <f t="shared" si="21"/>
        <v>7.249402448495651E-2</v>
      </c>
      <c r="W47" s="116">
        <f t="shared" si="22"/>
        <v>0</v>
      </c>
      <c r="X47" s="116">
        <f t="shared" si="23"/>
        <v>0</v>
      </c>
      <c r="Y47" s="116">
        <f t="shared" si="24"/>
        <v>0</v>
      </c>
      <c r="Z47" s="116">
        <f t="shared" si="25"/>
        <v>0</v>
      </c>
      <c r="AA47" s="116">
        <f t="shared" si="26"/>
        <v>309097.11943477829</v>
      </c>
      <c r="AB47" s="116">
        <f t="shared" si="27"/>
        <v>121.90192067628378</v>
      </c>
      <c r="AC47" s="116">
        <f t="shared" si="28"/>
        <v>0</v>
      </c>
      <c r="AD47" s="119" t="str">
        <f t="shared" si="3"/>
        <v/>
      </c>
      <c r="AE47" s="119" t="str">
        <f t="shared" si="4"/>
        <v/>
      </c>
      <c r="AF47" s="93">
        <f t="shared" si="5"/>
        <v>0</v>
      </c>
      <c r="AG47" s="93">
        <f t="shared" si="6"/>
        <v>0</v>
      </c>
      <c r="AH47" s="120">
        <f t="shared" si="7"/>
        <v>0</v>
      </c>
      <c r="AI47" s="93">
        <f t="shared" si="8"/>
        <v>0</v>
      </c>
      <c r="AJ47" s="93">
        <f t="shared" si="9"/>
        <v>0</v>
      </c>
      <c r="AK47" s="120">
        <f t="shared" si="10"/>
        <v>0</v>
      </c>
      <c r="AL47" s="121"/>
      <c r="AM47" s="121"/>
    </row>
    <row r="48" spans="4:39" x14ac:dyDescent="0.3">
      <c r="D48" s="116">
        <v>45</v>
      </c>
      <c r="E48" s="116">
        <f t="shared" si="29"/>
        <v>0</v>
      </c>
      <c r="F48" s="116">
        <f t="shared" si="29"/>
        <v>0</v>
      </c>
      <c r="G48" s="117">
        <f t="shared" si="29"/>
        <v>0</v>
      </c>
      <c r="H48" s="116">
        <f t="shared" si="1"/>
        <v>0</v>
      </c>
      <c r="I48" s="116">
        <f t="shared" si="30"/>
        <v>0</v>
      </c>
      <c r="J48" s="116">
        <f t="shared" si="30"/>
        <v>0</v>
      </c>
      <c r="K48" s="116">
        <f t="shared" si="30"/>
        <v>0</v>
      </c>
      <c r="L48" s="116">
        <f t="shared" si="11"/>
        <v>0</v>
      </c>
      <c r="M48" s="116">
        <f t="shared" si="12"/>
        <v>8.1819191119888474E-2</v>
      </c>
      <c r="N48" s="116">
        <f t="shared" si="13"/>
        <v>8.2094438229770347E-2</v>
      </c>
      <c r="O48" s="116">
        <f t="shared" si="14"/>
        <v>1.0050525018226657</v>
      </c>
      <c r="P48" s="116">
        <f t="shared" si="15"/>
        <v>5.0631086318432056E-3</v>
      </c>
      <c r="Q48" s="116">
        <f t="shared" si="16"/>
        <v>1.0627590303618776E-5</v>
      </c>
      <c r="R48" s="116">
        <f t="shared" si="17"/>
        <v>2.0820378689919501E-8</v>
      </c>
      <c r="S48" s="116">
        <f t="shared" si="18"/>
        <v>3.9323714008920611E-11</v>
      </c>
      <c r="T48" s="116">
        <f t="shared" si="19"/>
        <v>6.5545480046391586E-14</v>
      </c>
      <c r="U48" s="116">
        <f t="shared" si="20"/>
        <v>0</v>
      </c>
      <c r="V48" s="116">
        <f t="shared" si="21"/>
        <v>7.249402448495651E-2</v>
      </c>
      <c r="W48" s="116">
        <f t="shared" si="22"/>
        <v>0</v>
      </c>
      <c r="X48" s="116">
        <f t="shared" si="23"/>
        <v>0</v>
      </c>
      <c r="Y48" s="116">
        <f t="shared" si="24"/>
        <v>0</v>
      </c>
      <c r="Z48" s="116">
        <f t="shared" si="25"/>
        <v>0</v>
      </c>
      <c r="AA48" s="116">
        <f t="shared" si="26"/>
        <v>309097.11943477829</v>
      </c>
      <c r="AB48" s="116">
        <f t="shared" si="27"/>
        <v>121.90192067628378</v>
      </c>
      <c r="AC48" s="116">
        <f t="shared" si="28"/>
        <v>0</v>
      </c>
      <c r="AD48" s="119" t="str">
        <f t="shared" si="3"/>
        <v/>
      </c>
      <c r="AE48" s="119" t="str">
        <f t="shared" si="4"/>
        <v/>
      </c>
      <c r="AF48" s="93">
        <f t="shared" si="5"/>
        <v>0</v>
      </c>
      <c r="AG48" s="93">
        <f t="shared" si="6"/>
        <v>0</v>
      </c>
      <c r="AH48" s="120">
        <f t="shared" si="7"/>
        <v>0</v>
      </c>
      <c r="AI48" s="93">
        <f t="shared" si="8"/>
        <v>0</v>
      </c>
      <c r="AJ48" s="93">
        <f t="shared" si="9"/>
        <v>0</v>
      </c>
      <c r="AK48" s="120">
        <f t="shared" si="10"/>
        <v>0</v>
      </c>
      <c r="AL48" s="121"/>
      <c r="AM48" s="121"/>
    </row>
    <row r="49" spans="4:39" x14ac:dyDescent="0.3">
      <c r="D49" s="116">
        <v>46</v>
      </c>
      <c r="E49" s="116">
        <f t="shared" si="29"/>
        <v>0</v>
      </c>
      <c r="F49" s="116">
        <f t="shared" si="29"/>
        <v>0</v>
      </c>
      <c r="G49" s="117">
        <f t="shared" si="29"/>
        <v>0</v>
      </c>
      <c r="H49" s="116">
        <f t="shared" si="1"/>
        <v>0</v>
      </c>
      <c r="I49" s="116">
        <f t="shared" si="30"/>
        <v>0</v>
      </c>
      <c r="J49" s="116">
        <f t="shared" si="30"/>
        <v>0</v>
      </c>
      <c r="K49" s="116">
        <f t="shared" si="30"/>
        <v>0</v>
      </c>
      <c r="L49" s="116">
        <f t="shared" si="11"/>
        <v>0</v>
      </c>
      <c r="M49" s="116">
        <f t="shared" si="12"/>
        <v>8.1819191119888474E-2</v>
      </c>
      <c r="N49" s="116">
        <f t="shared" si="13"/>
        <v>8.2094438229770347E-2</v>
      </c>
      <c r="O49" s="116">
        <f t="shared" si="14"/>
        <v>1.0050525018226657</v>
      </c>
      <c r="P49" s="116">
        <f t="shared" si="15"/>
        <v>5.0631086318432056E-3</v>
      </c>
      <c r="Q49" s="116">
        <f t="shared" si="16"/>
        <v>1.0627590303618776E-5</v>
      </c>
      <c r="R49" s="116">
        <f t="shared" si="17"/>
        <v>2.0820378689919501E-8</v>
      </c>
      <c r="S49" s="116">
        <f t="shared" si="18"/>
        <v>3.9323714008920611E-11</v>
      </c>
      <c r="T49" s="116">
        <f t="shared" si="19"/>
        <v>6.5545480046391586E-14</v>
      </c>
      <c r="U49" s="116">
        <f t="shared" si="20"/>
        <v>0</v>
      </c>
      <c r="V49" s="116">
        <f t="shared" si="21"/>
        <v>7.249402448495651E-2</v>
      </c>
      <c r="W49" s="116">
        <f t="shared" si="22"/>
        <v>0</v>
      </c>
      <c r="X49" s="116">
        <f t="shared" si="23"/>
        <v>0</v>
      </c>
      <c r="Y49" s="116">
        <f t="shared" si="24"/>
        <v>0</v>
      </c>
      <c r="Z49" s="116">
        <f t="shared" si="25"/>
        <v>0</v>
      </c>
      <c r="AA49" s="116">
        <f t="shared" si="26"/>
        <v>309097.11943477829</v>
      </c>
      <c r="AB49" s="116">
        <f t="shared" si="27"/>
        <v>121.90192067628378</v>
      </c>
      <c r="AC49" s="116">
        <f t="shared" si="28"/>
        <v>0</v>
      </c>
      <c r="AD49" s="119" t="str">
        <f t="shared" si="3"/>
        <v/>
      </c>
      <c r="AE49" s="119" t="str">
        <f t="shared" si="4"/>
        <v/>
      </c>
      <c r="AF49" s="93">
        <f t="shared" si="5"/>
        <v>0</v>
      </c>
      <c r="AG49" s="93">
        <f t="shared" si="6"/>
        <v>0</v>
      </c>
      <c r="AH49" s="120">
        <f t="shared" si="7"/>
        <v>0</v>
      </c>
      <c r="AI49" s="93">
        <f t="shared" si="8"/>
        <v>0</v>
      </c>
      <c r="AJ49" s="93">
        <f t="shared" si="9"/>
        <v>0</v>
      </c>
      <c r="AK49" s="120">
        <f t="shared" si="10"/>
        <v>0</v>
      </c>
      <c r="AL49" s="121"/>
      <c r="AM49" s="121"/>
    </row>
    <row r="50" spans="4:39" x14ac:dyDescent="0.3">
      <c r="D50" s="116">
        <v>47</v>
      </c>
      <c r="E50" s="116">
        <f t="shared" si="29"/>
        <v>0</v>
      </c>
      <c r="F50" s="116">
        <f t="shared" si="29"/>
        <v>0</v>
      </c>
      <c r="G50" s="117">
        <f t="shared" si="29"/>
        <v>0</v>
      </c>
      <c r="H50" s="116">
        <f t="shared" si="1"/>
        <v>0</v>
      </c>
      <c r="I50" s="116">
        <f t="shared" si="30"/>
        <v>0</v>
      </c>
      <c r="J50" s="116">
        <f t="shared" si="30"/>
        <v>0</v>
      </c>
      <c r="K50" s="116">
        <f t="shared" si="30"/>
        <v>0</v>
      </c>
      <c r="L50" s="116">
        <f t="shared" si="11"/>
        <v>0</v>
      </c>
      <c r="M50" s="116">
        <f t="shared" si="12"/>
        <v>8.1819191119888474E-2</v>
      </c>
      <c r="N50" s="116">
        <f t="shared" si="13"/>
        <v>8.2094438229770347E-2</v>
      </c>
      <c r="O50" s="116">
        <f t="shared" si="14"/>
        <v>1.0050525018226657</v>
      </c>
      <c r="P50" s="116">
        <f t="shared" si="15"/>
        <v>5.0631086318432056E-3</v>
      </c>
      <c r="Q50" s="116">
        <f t="shared" si="16"/>
        <v>1.0627590303618776E-5</v>
      </c>
      <c r="R50" s="116">
        <f t="shared" si="17"/>
        <v>2.0820378689919501E-8</v>
      </c>
      <c r="S50" s="116">
        <f t="shared" si="18"/>
        <v>3.9323714008920611E-11</v>
      </c>
      <c r="T50" s="116">
        <f t="shared" si="19"/>
        <v>6.5545480046391586E-14</v>
      </c>
      <c r="U50" s="116">
        <f t="shared" si="20"/>
        <v>0</v>
      </c>
      <c r="V50" s="116">
        <f t="shared" si="21"/>
        <v>7.249402448495651E-2</v>
      </c>
      <c r="W50" s="116">
        <f t="shared" si="22"/>
        <v>0</v>
      </c>
      <c r="X50" s="116">
        <f t="shared" si="23"/>
        <v>0</v>
      </c>
      <c r="Y50" s="116">
        <f t="shared" si="24"/>
        <v>0</v>
      </c>
      <c r="Z50" s="116">
        <f t="shared" si="25"/>
        <v>0</v>
      </c>
      <c r="AA50" s="116">
        <f t="shared" si="26"/>
        <v>309097.11943477829</v>
      </c>
      <c r="AB50" s="116">
        <f t="shared" si="27"/>
        <v>121.90192067628378</v>
      </c>
      <c r="AC50" s="116">
        <f t="shared" si="28"/>
        <v>0</v>
      </c>
      <c r="AD50" s="119" t="str">
        <f t="shared" si="3"/>
        <v/>
      </c>
      <c r="AE50" s="119" t="str">
        <f t="shared" si="4"/>
        <v/>
      </c>
      <c r="AF50" s="93">
        <f t="shared" si="5"/>
        <v>0</v>
      </c>
      <c r="AG50" s="93">
        <f t="shared" si="6"/>
        <v>0</v>
      </c>
      <c r="AH50" s="120">
        <f t="shared" si="7"/>
        <v>0</v>
      </c>
      <c r="AI50" s="93">
        <f t="shared" si="8"/>
        <v>0</v>
      </c>
      <c r="AJ50" s="93">
        <f t="shared" si="9"/>
        <v>0</v>
      </c>
      <c r="AK50" s="120">
        <f t="shared" si="10"/>
        <v>0</v>
      </c>
      <c r="AL50" s="121"/>
      <c r="AM50" s="121"/>
    </row>
    <row r="51" spans="4:39" x14ac:dyDescent="0.3">
      <c r="D51" s="116">
        <v>48</v>
      </c>
      <c r="E51" s="116">
        <f t="shared" si="29"/>
        <v>0</v>
      </c>
      <c r="F51" s="116">
        <f t="shared" si="29"/>
        <v>0</v>
      </c>
      <c r="G51" s="117">
        <f t="shared" si="29"/>
        <v>0</v>
      </c>
      <c r="H51" s="116">
        <f t="shared" si="1"/>
        <v>0</v>
      </c>
      <c r="I51" s="116">
        <f t="shared" si="30"/>
        <v>0</v>
      </c>
      <c r="J51" s="116">
        <f t="shared" si="30"/>
        <v>0</v>
      </c>
      <c r="K51" s="116">
        <f t="shared" si="30"/>
        <v>0</v>
      </c>
      <c r="L51" s="116">
        <f t="shared" si="11"/>
        <v>0</v>
      </c>
      <c r="M51" s="116">
        <f t="shared" si="12"/>
        <v>8.1819191119888474E-2</v>
      </c>
      <c r="N51" s="116">
        <f t="shared" si="13"/>
        <v>8.2094438229770347E-2</v>
      </c>
      <c r="O51" s="116">
        <f t="shared" si="14"/>
        <v>1.0050525018226657</v>
      </c>
      <c r="P51" s="116">
        <f t="shared" si="15"/>
        <v>5.0631086318432056E-3</v>
      </c>
      <c r="Q51" s="116">
        <f t="shared" si="16"/>
        <v>1.0627590303618776E-5</v>
      </c>
      <c r="R51" s="116">
        <f t="shared" si="17"/>
        <v>2.0820378689919501E-8</v>
      </c>
      <c r="S51" s="116">
        <f t="shared" si="18"/>
        <v>3.9323714008920611E-11</v>
      </c>
      <c r="T51" s="116">
        <f t="shared" si="19"/>
        <v>6.5545480046391586E-14</v>
      </c>
      <c r="U51" s="116">
        <f t="shared" si="20"/>
        <v>0</v>
      </c>
      <c r="V51" s="116">
        <f t="shared" si="21"/>
        <v>7.249402448495651E-2</v>
      </c>
      <c r="W51" s="116">
        <f t="shared" si="22"/>
        <v>0</v>
      </c>
      <c r="X51" s="116">
        <f t="shared" si="23"/>
        <v>0</v>
      </c>
      <c r="Y51" s="116">
        <f t="shared" si="24"/>
        <v>0</v>
      </c>
      <c r="Z51" s="116">
        <f t="shared" si="25"/>
        <v>0</v>
      </c>
      <c r="AA51" s="116">
        <f t="shared" si="26"/>
        <v>309097.11943477829</v>
      </c>
      <c r="AB51" s="116">
        <f t="shared" si="27"/>
        <v>121.90192067628378</v>
      </c>
      <c r="AC51" s="116">
        <f t="shared" si="28"/>
        <v>0</v>
      </c>
      <c r="AD51" s="119" t="str">
        <f t="shared" si="3"/>
        <v/>
      </c>
      <c r="AE51" s="119" t="str">
        <f t="shared" si="4"/>
        <v/>
      </c>
      <c r="AF51" s="93">
        <f t="shared" si="5"/>
        <v>0</v>
      </c>
      <c r="AG51" s="93">
        <f t="shared" si="6"/>
        <v>0</v>
      </c>
      <c r="AH51" s="120">
        <f t="shared" si="7"/>
        <v>0</v>
      </c>
      <c r="AI51" s="93">
        <f t="shared" si="8"/>
        <v>0</v>
      </c>
      <c r="AJ51" s="93">
        <f t="shared" si="9"/>
        <v>0</v>
      </c>
      <c r="AK51" s="120">
        <f t="shared" si="10"/>
        <v>0</v>
      </c>
      <c r="AL51" s="121"/>
      <c r="AM51" s="121"/>
    </row>
    <row r="52" spans="4:39" x14ac:dyDescent="0.3">
      <c r="D52" s="116">
        <v>49</v>
      </c>
      <c r="E52" s="116">
        <f t="shared" si="29"/>
        <v>0</v>
      </c>
      <c r="F52" s="116">
        <f t="shared" si="29"/>
        <v>0</v>
      </c>
      <c r="G52" s="117">
        <f t="shared" si="29"/>
        <v>0</v>
      </c>
      <c r="H52" s="116">
        <f t="shared" si="1"/>
        <v>0</v>
      </c>
      <c r="I52" s="116">
        <f t="shared" si="30"/>
        <v>0</v>
      </c>
      <c r="J52" s="116">
        <f t="shared" si="30"/>
        <v>0</v>
      </c>
      <c r="K52" s="116">
        <f t="shared" si="30"/>
        <v>0</v>
      </c>
      <c r="L52" s="116">
        <f t="shared" si="11"/>
        <v>0</v>
      </c>
      <c r="M52" s="116">
        <f t="shared" si="12"/>
        <v>8.1819191119888474E-2</v>
      </c>
      <c r="N52" s="116">
        <f t="shared" si="13"/>
        <v>8.2094438229770347E-2</v>
      </c>
      <c r="O52" s="116">
        <f t="shared" si="14"/>
        <v>1.0050525018226657</v>
      </c>
      <c r="P52" s="116">
        <f t="shared" si="15"/>
        <v>5.0631086318432056E-3</v>
      </c>
      <c r="Q52" s="116">
        <f t="shared" si="16"/>
        <v>1.0627590303618776E-5</v>
      </c>
      <c r="R52" s="116">
        <f t="shared" si="17"/>
        <v>2.0820378689919501E-8</v>
      </c>
      <c r="S52" s="116">
        <f t="shared" si="18"/>
        <v>3.9323714008920611E-11</v>
      </c>
      <c r="T52" s="116">
        <f t="shared" si="19"/>
        <v>6.5545480046391586E-14</v>
      </c>
      <c r="U52" s="116">
        <f t="shared" si="20"/>
        <v>0</v>
      </c>
      <c r="V52" s="116">
        <f t="shared" si="21"/>
        <v>7.249402448495651E-2</v>
      </c>
      <c r="W52" s="116">
        <f t="shared" si="22"/>
        <v>0</v>
      </c>
      <c r="X52" s="116">
        <f t="shared" si="23"/>
        <v>0</v>
      </c>
      <c r="Y52" s="116">
        <f t="shared" si="24"/>
        <v>0</v>
      </c>
      <c r="Z52" s="116">
        <f t="shared" si="25"/>
        <v>0</v>
      </c>
      <c r="AA52" s="116">
        <f t="shared" si="26"/>
        <v>309097.11943477829</v>
      </c>
      <c r="AB52" s="116">
        <f t="shared" si="27"/>
        <v>121.90192067628378</v>
      </c>
      <c r="AC52" s="116">
        <f t="shared" si="28"/>
        <v>0</v>
      </c>
      <c r="AD52" s="119" t="str">
        <f t="shared" si="3"/>
        <v/>
      </c>
      <c r="AE52" s="119" t="str">
        <f t="shared" si="4"/>
        <v/>
      </c>
      <c r="AF52" s="93">
        <f t="shared" si="5"/>
        <v>0</v>
      </c>
      <c r="AG52" s="93">
        <f t="shared" si="6"/>
        <v>0</v>
      </c>
      <c r="AH52" s="120">
        <f t="shared" si="7"/>
        <v>0</v>
      </c>
      <c r="AI52" s="93">
        <f t="shared" si="8"/>
        <v>0</v>
      </c>
      <c r="AJ52" s="93">
        <f t="shared" si="9"/>
        <v>0</v>
      </c>
      <c r="AK52" s="120">
        <f t="shared" si="10"/>
        <v>0</v>
      </c>
      <c r="AL52" s="121"/>
      <c r="AM52" s="121"/>
    </row>
    <row r="53" spans="4:39" x14ac:dyDescent="0.3">
      <c r="D53" s="116">
        <v>50</v>
      </c>
      <c r="E53" s="116">
        <f t="shared" si="29"/>
        <v>0</v>
      </c>
      <c r="F53" s="116">
        <f t="shared" si="29"/>
        <v>0</v>
      </c>
      <c r="G53" s="117">
        <f t="shared" si="29"/>
        <v>0</v>
      </c>
      <c r="H53" s="116">
        <f t="shared" si="1"/>
        <v>0</v>
      </c>
      <c r="I53" s="116">
        <f t="shared" si="30"/>
        <v>0</v>
      </c>
      <c r="J53" s="116">
        <f t="shared" si="30"/>
        <v>0</v>
      </c>
      <c r="K53" s="116">
        <f t="shared" si="30"/>
        <v>0</v>
      </c>
      <c r="L53" s="116">
        <f t="shared" si="11"/>
        <v>0</v>
      </c>
      <c r="M53" s="116">
        <f t="shared" si="12"/>
        <v>8.1819191119888474E-2</v>
      </c>
      <c r="N53" s="116">
        <f t="shared" si="13"/>
        <v>8.2094438229770347E-2</v>
      </c>
      <c r="O53" s="116">
        <f t="shared" si="14"/>
        <v>1.0050525018226657</v>
      </c>
      <c r="P53" s="116">
        <f t="shared" si="15"/>
        <v>5.0631086318432056E-3</v>
      </c>
      <c r="Q53" s="116">
        <f t="shared" si="16"/>
        <v>1.0627590303618776E-5</v>
      </c>
      <c r="R53" s="116">
        <f t="shared" si="17"/>
        <v>2.0820378689919501E-8</v>
      </c>
      <c r="S53" s="116">
        <f t="shared" si="18"/>
        <v>3.9323714008920611E-11</v>
      </c>
      <c r="T53" s="116">
        <f t="shared" si="19"/>
        <v>6.5545480046391586E-14</v>
      </c>
      <c r="U53" s="116">
        <f t="shared" si="20"/>
        <v>0</v>
      </c>
      <c r="V53" s="116">
        <f t="shared" si="21"/>
        <v>7.249402448495651E-2</v>
      </c>
      <c r="W53" s="116">
        <f t="shared" si="22"/>
        <v>0</v>
      </c>
      <c r="X53" s="116">
        <f t="shared" si="23"/>
        <v>0</v>
      </c>
      <c r="Y53" s="116">
        <f t="shared" si="24"/>
        <v>0</v>
      </c>
      <c r="Z53" s="116">
        <f t="shared" si="25"/>
        <v>0</v>
      </c>
      <c r="AA53" s="116">
        <f t="shared" si="26"/>
        <v>309097.11943477829</v>
      </c>
      <c r="AB53" s="116">
        <f t="shared" si="27"/>
        <v>121.90192067628378</v>
      </c>
      <c r="AC53" s="116">
        <f t="shared" si="28"/>
        <v>0</v>
      </c>
      <c r="AD53" s="119" t="str">
        <f t="shared" si="3"/>
        <v/>
      </c>
      <c r="AE53" s="119" t="str">
        <f t="shared" si="4"/>
        <v/>
      </c>
      <c r="AF53" s="93">
        <f t="shared" si="5"/>
        <v>0</v>
      </c>
      <c r="AG53" s="93">
        <f t="shared" si="6"/>
        <v>0</v>
      </c>
      <c r="AH53" s="120">
        <f t="shared" si="7"/>
        <v>0</v>
      </c>
      <c r="AI53" s="93">
        <f t="shared" si="8"/>
        <v>0</v>
      </c>
      <c r="AJ53" s="93">
        <f t="shared" si="9"/>
        <v>0</v>
      </c>
      <c r="AK53" s="120">
        <f t="shared" si="10"/>
        <v>0</v>
      </c>
      <c r="AL53" s="121"/>
      <c r="AM53" s="121"/>
    </row>
  </sheetData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errorStyle="warning" allowBlank="1" showInputMessage="1" showErrorMessage="1" errorTitle="Datum" error="Datum Inválido" promptTitle="Datum" prompt="Defina o Datum" sqref="A2:B2" xr:uid="{36120380-67D5-4F27-A9E1-BE9F89F893CB}">
      <formula1>"SAD69,SIRGAS2000,CÓRREGO ALEGRE"</formula1>
    </dataValidation>
    <dataValidation type="list" allowBlank="1" showInputMessage="1" showErrorMessage="1" errorTitle="Datum" error="Datum Inválido" promptTitle="Datum" prompt="Defina o Datum" sqref="C2" xr:uid="{11CF4747-96AB-4686-BE05-FA5ADA44C09D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CC897-94A2-4B3A-AC74-91E631E7F655}">
  <sheetPr codeName="Planilha7"/>
  <dimension ref="A1:C470"/>
  <sheetViews>
    <sheetView workbookViewId="0">
      <selection activeCell="J8" sqref="J8"/>
    </sheetView>
  </sheetViews>
  <sheetFormatPr defaultRowHeight="14.4" x14ac:dyDescent="0.3"/>
  <sheetData>
    <row r="1" spans="1:3" x14ac:dyDescent="0.3">
      <c r="B1" t="s">
        <v>206</v>
      </c>
      <c r="C1" t="s">
        <v>207</v>
      </c>
    </row>
    <row r="2" spans="1:3" x14ac:dyDescent="0.3">
      <c r="B2">
        <v>51</v>
      </c>
      <c r="C2">
        <v>9001</v>
      </c>
    </row>
    <row r="5" spans="1:3" x14ac:dyDescent="0.3">
      <c r="A5" t="s">
        <v>208</v>
      </c>
      <c r="B5" t="s">
        <v>209</v>
      </c>
    </row>
    <row r="6" spans="1:3" x14ac:dyDescent="0.3">
      <c r="A6">
        <v>2001</v>
      </c>
      <c r="B6" t="s">
        <v>210</v>
      </c>
    </row>
    <row r="7" spans="1:3" x14ac:dyDescent="0.3">
      <c r="A7">
        <v>2001</v>
      </c>
      <c r="B7" t="s">
        <v>211</v>
      </c>
    </row>
    <row r="8" spans="1:3" x14ac:dyDescent="0.3">
      <c r="A8">
        <v>2001</v>
      </c>
      <c r="B8" t="s">
        <v>212</v>
      </c>
    </row>
    <row r="9" spans="1:3" x14ac:dyDescent="0.3">
      <c r="A9">
        <v>2001</v>
      </c>
      <c r="B9" t="s">
        <v>213</v>
      </c>
    </row>
    <row r="10" spans="1:3" x14ac:dyDescent="0.3">
      <c r="A10">
        <v>2001</v>
      </c>
      <c r="B10" t="s">
        <v>214</v>
      </c>
    </row>
    <row r="11" spans="1:3" x14ac:dyDescent="0.3">
      <c r="A11">
        <v>2001</v>
      </c>
      <c r="B11" t="s">
        <v>215</v>
      </c>
    </row>
    <row r="12" spans="1:3" x14ac:dyDescent="0.3">
      <c r="A12">
        <v>2001</v>
      </c>
      <c r="B12" t="s">
        <v>216</v>
      </c>
    </row>
    <row r="13" spans="1:3" x14ac:dyDescent="0.3">
      <c r="A13">
        <v>2001</v>
      </c>
      <c r="B13" t="s">
        <v>217</v>
      </c>
    </row>
    <row r="14" spans="1:3" x14ac:dyDescent="0.3">
      <c r="A14">
        <v>2001</v>
      </c>
      <c r="B14" t="s">
        <v>218</v>
      </c>
    </row>
    <row r="15" spans="1:3" x14ac:dyDescent="0.3">
      <c r="A15">
        <v>2001</v>
      </c>
      <c r="B15" t="s">
        <v>219</v>
      </c>
    </row>
    <row r="16" spans="1:3" x14ac:dyDescent="0.3">
      <c r="A16">
        <v>2001</v>
      </c>
      <c r="B16" t="s">
        <v>220</v>
      </c>
    </row>
    <row r="17" spans="1:2" x14ac:dyDescent="0.3">
      <c r="A17">
        <v>2001</v>
      </c>
      <c r="B17" t="s">
        <v>221</v>
      </c>
    </row>
    <row r="18" spans="1:2" x14ac:dyDescent="0.3">
      <c r="A18">
        <v>2001</v>
      </c>
      <c r="B18" t="s">
        <v>222</v>
      </c>
    </row>
    <row r="19" spans="1:2" x14ac:dyDescent="0.3">
      <c r="A19">
        <v>2001</v>
      </c>
      <c r="B19" t="s">
        <v>223</v>
      </c>
    </row>
    <row r="20" spans="1:2" x14ac:dyDescent="0.3">
      <c r="A20">
        <v>2001</v>
      </c>
      <c r="B20" t="s">
        <v>224</v>
      </c>
    </row>
    <row r="21" spans="1:2" x14ac:dyDescent="0.3">
      <c r="A21">
        <v>2001</v>
      </c>
      <c r="B21" t="s">
        <v>225</v>
      </c>
    </row>
    <row r="22" spans="1:2" x14ac:dyDescent="0.3">
      <c r="A22">
        <v>2001</v>
      </c>
      <c r="B22" t="s">
        <v>226</v>
      </c>
    </row>
    <row r="23" spans="1:2" x14ac:dyDescent="0.3">
      <c r="A23">
        <v>2001</v>
      </c>
      <c r="B23" t="s">
        <v>227</v>
      </c>
    </row>
    <row r="24" spans="1:2" x14ac:dyDescent="0.3">
      <c r="A24">
        <v>2001</v>
      </c>
      <c r="B24" t="s">
        <v>228</v>
      </c>
    </row>
    <row r="25" spans="1:2" x14ac:dyDescent="0.3">
      <c r="A25">
        <v>2001</v>
      </c>
      <c r="B25" t="s">
        <v>229</v>
      </c>
    </row>
    <row r="26" spans="1:2" x14ac:dyDescent="0.3">
      <c r="A26">
        <v>2001</v>
      </c>
      <c r="B26" t="s">
        <v>230</v>
      </c>
    </row>
    <row r="27" spans="1:2" x14ac:dyDescent="0.3">
      <c r="A27">
        <v>2001</v>
      </c>
      <c r="B27" t="s">
        <v>231</v>
      </c>
    </row>
    <row r="28" spans="1:2" x14ac:dyDescent="0.3">
      <c r="A28">
        <v>2001</v>
      </c>
      <c r="B28" t="s">
        <v>232</v>
      </c>
    </row>
    <row r="29" spans="1:2" x14ac:dyDescent="0.3">
      <c r="A29">
        <v>2001</v>
      </c>
      <c r="B29" t="s">
        <v>233</v>
      </c>
    </row>
    <row r="30" spans="1:2" x14ac:dyDescent="0.3">
      <c r="A30">
        <v>2001</v>
      </c>
      <c r="B30" t="s">
        <v>234</v>
      </c>
    </row>
    <row r="31" spans="1:2" x14ac:dyDescent="0.3">
      <c r="A31">
        <v>2001</v>
      </c>
      <c r="B31" t="s">
        <v>235</v>
      </c>
    </row>
    <row r="32" spans="1:2" x14ac:dyDescent="0.3">
      <c r="A32">
        <v>2001</v>
      </c>
      <c r="B32" t="s">
        <v>236</v>
      </c>
    </row>
    <row r="33" spans="1:2" x14ac:dyDescent="0.3">
      <c r="A33">
        <v>2001</v>
      </c>
      <c r="B33" t="s">
        <v>237</v>
      </c>
    </row>
    <row r="34" spans="1:2" x14ac:dyDescent="0.3">
      <c r="A34">
        <v>2001</v>
      </c>
      <c r="B34" t="s">
        <v>238</v>
      </c>
    </row>
    <row r="35" spans="1:2" x14ac:dyDescent="0.3">
      <c r="A35">
        <v>2001</v>
      </c>
      <c r="B35" t="s">
        <v>239</v>
      </c>
    </row>
    <row r="36" spans="1:2" x14ac:dyDescent="0.3">
      <c r="A36">
        <v>2001</v>
      </c>
      <c r="B36" t="s">
        <v>240</v>
      </c>
    </row>
    <row r="37" spans="1:2" x14ac:dyDescent="0.3">
      <c r="A37">
        <v>2001</v>
      </c>
      <c r="B37" t="s">
        <v>241</v>
      </c>
    </row>
    <row r="38" spans="1:2" x14ac:dyDescent="0.3">
      <c r="A38">
        <v>2001</v>
      </c>
      <c r="B38" t="s">
        <v>242</v>
      </c>
    </row>
    <row r="39" spans="1:2" x14ac:dyDescent="0.3">
      <c r="A39">
        <v>2001</v>
      </c>
      <c r="B39" t="s">
        <v>243</v>
      </c>
    </row>
    <row r="40" spans="1:2" x14ac:dyDescent="0.3">
      <c r="A40">
        <v>2001</v>
      </c>
      <c r="B40" t="s">
        <v>244</v>
      </c>
    </row>
    <row r="41" spans="1:2" x14ac:dyDescent="0.3">
      <c r="A41">
        <v>2001</v>
      </c>
      <c r="B41" t="s">
        <v>245</v>
      </c>
    </row>
    <row r="42" spans="1:2" x14ac:dyDescent="0.3">
      <c r="A42">
        <v>2001</v>
      </c>
      <c r="B42" t="s">
        <v>246</v>
      </c>
    </row>
    <row r="43" spans="1:2" x14ac:dyDescent="0.3">
      <c r="A43">
        <v>2001</v>
      </c>
      <c r="B43" t="s">
        <v>247</v>
      </c>
    </row>
    <row r="44" spans="1:2" x14ac:dyDescent="0.3">
      <c r="A44">
        <v>2001</v>
      </c>
      <c r="B44" t="s">
        <v>248</v>
      </c>
    </row>
    <row r="45" spans="1:2" x14ac:dyDescent="0.3">
      <c r="A45">
        <v>2001</v>
      </c>
      <c r="B45" t="s">
        <v>249</v>
      </c>
    </row>
    <row r="46" spans="1:2" x14ac:dyDescent="0.3">
      <c r="A46">
        <v>2001</v>
      </c>
      <c r="B46" t="s">
        <v>250</v>
      </c>
    </row>
    <row r="47" spans="1:2" x14ac:dyDescent="0.3">
      <c r="A47">
        <v>2001</v>
      </c>
      <c r="B47" t="s">
        <v>251</v>
      </c>
    </row>
    <row r="48" spans="1:2" x14ac:dyDescent="0.3">
      <c r="A48">
        <v>2001</v>
      </c>
      <c r="B48" t="s">
        <v>252</v>
      </c>
    </row>
    <row r="49" spans="1:2" x14ac:dyDescent="0.3">
      <c r="A49">
        <v>2001</v>
      </c>
      <c r="B49" t="s">
        <v>253</v>
      </c>
    </row>
    <row r="50" spans="1:2" x14ac:dyDescent="0.3">
      <c r="A50">
        <v>2001</v>
      </c>
      <c r="B50" t="s">
        <v>254</v>
      </c>
    </row>
    <row r="51" spans="1:2" x14ac:dyDescent="0.3">
      <c r="A51">
        <v>2001</v>
      </c>
      <c r="B51" t="s">
        <v>255</v>
      </c>
    </row>
    <row r="52" spans="1:2" x14ac:dyDescent="0.3">
      <c r="A52">
        <v>2001</v>
      </c>
      <c r="B52" t="s">
        <v>256</v>
      </c>
    </row>
    <row r="53" spans="1:2" x14ac:dyDescent="0.3">
      <c r="A53">
        <v>2001</v>
      </c>
      <c r="B53" t="s">
        <v>257</v>
      </c>
    </row>
    <row r="54" spans="1:2" x14ac:dyDescent="0.3">
      <c r="A54">
        <v>2001</v>
      </c>
      <c r="B54" t="s">
        <v>258</v>
      </c>
    </row>
    <row r="55" spans="1:2" x14ac:dyDescent="0.3">
      <c r="A55">
        <v>2001</v>
      </c>
      <c r="B55" t="s">
        <v>259</v>
      </c>
    </row>
    <row r="56" spans="1:2" x14ac:dyDescent="0.3">
      <c r="A56">
        <v>2001</v>
      </c>
      <c r="B56" t="s">
        <v>260</v>
      </c>
    </row>
    <row r="57" spans="1:2" x14ac:dyDescent="0.3">
      <c r="A57">
        <v>2001</v>
      </c>
      <c r="B57" t="s">
        <v>261</v>
      </c>
    </row>
    <row r="58" spans="1:2" x14ac:dyDescent="0.3">
      <c r="A58">
        <v>2001</v>
      </c>
      <c r="B58" t="s">
        <v>262</v>
      </c>
    </row>
    <row r="59" spans="1:2" x14ac:dyDescent="0.3">
      <c r="A59">
        <v>2001</v>
      </c>
      <c r="B59" t="s">
        <v>263</v>
      </c>
    </row>
    <row r="60" spans="1:2" x14ac:dyDescent="0.3">
      <c r="A60">
        <v>2001</v>
      </c>
      <c r="B60" t="s">
        <v>264</v>
      </c>
    </row>
    <row r="61" spans="1:2" x14ac:dyDescent="0.3">
      <c r="A61">
        <v>2001</v>
      </c>
      <c r="B61" t="s">
        <v>265</v>
      </c>
    </row>
    <row r="62" spans="1:2" x14ac:dyDescent="0.3">
      <c r="A62">
        <v>2001</v>
      </c>
      <c r="B62" t="s">
        <v>266</v>
      </c>
    </row>
    <row r="63" spans="1:2" x14ac:dyDescent="0.3">
      <c r="A63">
        <v>2001</v>
      </c>
      <c r="B63" t="s">
        <v>267</v>
      </c>
    </row>
    <row r="64" spans="1:2" x14ac:dyDescent="0.3">
      <c r="A64">
        <v>2001</v>
      </c>
      <c r="B64" t="s">
        <v>268</v>
      </c>
    </row>
    <row r="65" spans="1:2" x14ac:dyDescent="0.3">
      <c r="A65">
        <v>2001</v>
      </c>
      <c r="B65" t="s">
        <v>269</v>
      </c>
    </row>
    <row r="66" spans="1:2" x14ac:dyDescent="0.3">
      <c r="A66">
        <v>2001</v>
      </c>
      <c r="B66" t="s">
        <v>270</v>
      </c>
    </row>
    <row r="67" spans="1:2" x14ac:dyDescent="0.3">
      <c r="A67">
        <v>2001</v>
      </c>
      <c r="B67" t="s">
        <v>271</v>
      </c>
    </row>
    <row r="68" spans="1:2" x14ac:dyDescent="0.3">
      <c r="A68">
        <v>2001</v>
      </c>
      <c r="B68" t="s">
        <v>272</v>
      </c>
    </row>
    <row r="69" spans="1:2" x14ac:dyDescent="0.3">
      <c r="A69">
        <v>2001</v>
      </c>
      <c r="B69" t="s">
        <v>273</v>
      </c>
    </row>
    <row r="70" spans="1:2" x14ac:dyDescent="0.3">
      <c r="A70">
        <v>2001</v>
      </c>
      <c r="B70" t="s">
        <v>274</v>
      </c>
    </row>
    <row r="71" spans="1:2" x14ac:dyDescent="0.3">
      <c r="A71">
        <v>2001</v>
      </c>
      <c r="B71" t="s">
        <v>275</v>
      </c>
    </row>
    <row r="72" spans="1:2" x14ac:dyDescent="0.3">
      <c r="A72">
        <v>2001</v>
      </c>
      <c r="B72" t="s">
        <v>276</v>
      </c>
    </row>
    <row r="73" spans="1:2" x14ac:dyDescent="0.3">
      <c r="A73">
        <v>2001</v>
      </c>
      <c r="B73" t="s">
        <v>277</v>
      </c>
    </row>
    <row r="74" spans="1:2" x14ac:dyDescent="0.3">
      <c r="A74">
        <v>2001</v>
      </c>
      <c r="B74" t="s">
        <v>278</v>
      </c>
    </row>
    <row r="75" spans="1:2" x14ac:dyDescent="0.3">
      <c r="A75">
        <v>2001</v>
      </c>
      <c r="B75" t="s">
        <v>279</v>
      </c>
    </row>
    <row r="76" spans="1:2" x14ac:dyDescent="0.3">
      <c r="A76">
        <v>2001</v>
      </c>
      <c r="B76" t="s">
        <v>280</v>
      </c>
    </row>
    <row r="77" spans="1:2" x14ac:dyDescent="0.3">
      <c r="A77">
        <v>2001</v>
      </c>
      <c r="B77" t="s">
        <v>281</v>
      </c>
    </row>
    <row r="78" spans="1:2" x14ac:dyDescent="0.3">
      <c r="A78">
        <v>2001</v>
      </c>
      <c r="B78" t="s">
        <v>282</v>
      </c>
    </row>
    <row r="79" spans="1:2" x14ac:dyDescent="0.3">
      <c r="A79">
        <v>2001</v>
      </c>
      <c r="B79" t="s">
        <v>283</v>
      </c>
    </row>
    <row r="80" spans="1:2" x14ac:dyDescent="0.3">
      <c r="A80">
        <v>2001</v>
      </c>
      <c r="B80" t="s">
        <v>284</v>
      </c>
    </row>
    <row r="81" spans="1:2" x14ac:dyDescent="0.3">
      <c r="A81">
        <v>2001</v>
      </c>
      <c r="B81" t="s">
        <v>285</v>
      </c>
    </row>
    <row r="82" spans="1:2" x14ac:dyDescent="0.3">
      <c r="A82">
        <v>2001</v>
      </c>
      <c r="B82" t="s">
        <v>286</v>
      </c>
    </row>
    <row r="83" spans="1:2" x14ac:dyDescent="0.3">
      <c r="A83">
        <v>2001</v>
      </c>
      <c r="B83" t="s">
        <v>287</v>
      </c>
    </row>
    <row r="84" spans="1:2" x14ac:dyDescent="0.3">
      <c r="A84">
        <v>2001</v>
      </c>
      <c r="B84" t="s">
        <v>288</v>
      </c>
    </row>
    <row r="85" spans="1:2" x14ac:dyDescent="0.3">
      <c r="A85">
        <v>2001</v>
      </c>
      <c r="B85" t="s">
        <v>289</v>
      </c>
    </row>
    <row r="86" spans="1:2" x14ac:dyDescent="0.3">
      <c r="A86">
        <v>2001</v>
      </c>
      <c r="B86" t="s">
        <v>290</v>
      </c>
    </row>
    <row r="87" spans="1:2" x14ac:dyDescent="0.3">
      <c r="A87">
        <v>2001</v>
      </c>
      <c r="B87" t="s">
        <v>291</v>
      </c>
    </row>
    <row r="88" spans="1:2" x14ac:dyDescent="0.3">
      <c r="A88">
        <v>2001</v>
      </c>
      <c r="B88" t="s">
        <v>292</v>
      </c>
    </row>
    <row r="89" spans="1:2" x14ac:dyDescent="0.3">
      <c r="A89">
        <v>2001</v>
      </c>
      <c r="B89" t="s">
        <v>293</v>
      </c>
    </row>
    <row r="90" spans="1:2" x14ac:dyDescent="0.3">
      <c r="A90">
        <v>2001</v>
      </c>
      <c r="B90" t="s">
        <v>294</v>
      </c>
    </row>
    <row r="91" spans="1:2" x14ac:dyDescent="0.3">
      <c r="A91">
        <v>2001</v>
      </c>
      <c r="B91" t="s">
        <v>295</v>
      </c>
    </row>
    <row r="92" spans="1:2" x14ac:dyDescent="0.3">
      <c r="A92">
        <v>2001</v>
      </c>
      <c r="B92" t="s">
        <v>296</v>
      </c>
    </row>
    <row r="93" spans="1:2" x14ac:dyDescent="0.3">
      <c r="A93">
        <v>2001</v>
      </c>
      <c r="B93" t="s">
        <v>297</v>
      </c>
    </row>
    <row r="94" spans="1:2" x14ac:dyDescent="0.3">
      <c r="A94">
        <v>2001</v>
      </c>
      <c r="B94" t="s">
        <v>298</v>
      </c>
    </row>
    <row r="95" spans="1:2" x14ac:dyDescent="0.3">
      <c r="A95">
        <v>2001</v>
      </c>
      <c r="B95" t="s">
        <v>299</v>
      </c>
    </row>
    <row r="96" spans="1:2" x14ac:dyDescent="0.3">
      <c r="A96">
        <v>2001</v>
      </c>
      <c r="B96" t="s">
        <v>300</v>
      </c>
    </row>
    <row r="97" spans="1:2" x14ac:dyDescent="0.3">
      <c r="A97">
        <v>2001</v>
      </c>
      <c r="B97" t="s">
        <v>301</v>
      </c>
    </row>
    <row r="98" spans="1:2" x14ac:dyDescent="0.3">
      <c r="A98">
        <v>2001</v>
      </c>
      <c r="B98" t="s">
        <v>302</v>
      </c>
    </row>
    <row r="99" spans="1:2" x14ac:dyDescent="0.3">
      <c r="A99">
        <v>2001</v>
      </c>
      <c r="B99" t="s">
        <v>303</v>
      </c>
    </row>
    <row r="100" spans="1:2" x14ac:dyDescent="0.3">
      <c r="A100">
        <v>2001</v>
      </c>
      <c r="B100" t="s">
        <v>304</v>
      </c>
    </row>
    <row r="101" spans="1:2" x14ac:dyDescent="0.3">
      <c r="A101">
        <v>2001</v>
      </c>
      <c r="B101" t="s">
        <v>305</v>
      </c>
    </row>
    <row r="102" spans="1:2" x14ac:dyDescent="0.3">
      <c r="A102">
        <v>2001</v>
      </c>
      <c r="B102" t="s">
        <v>306</v>
      </c>
    </row>
    <row r="103" spans="1:2" x14ac:dyDescent="0.3">
      <c r="A103">
        <v>2001</v>
      </c>
      <c r="B103" t="s">
        <v>307</v>
      </c>
    </row>
    <row r="104" spans="1:2" x14ac:dyDescent="0.3">
      <c r="A104">
        <v>2001</v>
      </c>
      <c r="B104" t="s">
        <v>308</v>
      </c>
    </row>
    <row r="105" spans="1:2" x14ac:dyDescent="0.3">
      <c r="A105">
        <v>2001</v>
      </c>
      <c r="B105" t="s">
        <v>309</v>
      </c>
    </row>
    <row r="106" spans="1:2" x14ac:dyDescent="0.3">
      <c r="A106">
        <v>2001</v>
      </c>
      <c r="B106" t="s">
        <v>310</v>
      </c>
    </row>
    <row r="107" spans="1:2" x14ac:dyDescent="0.3">
      <c r="A107">
        <v>2001</v>
      </c>
      <c r="B107" t="s">
        <v>311</v>
      </c>
    </row>
    <row r="108" spans="1:2" x14ac:dyDescent="0.3">
      <c r="A108">
        <v>2001</v>
      </c>
      <c r="B108" t="s">
        <v>312</v>
      </c>
    </row>
    <row r="109" spans="1:2" x14ac:dyDescent="0.3">
      <c r="A109">
        <v>2001</v>
      </c>
      <c r="B109" t="s">
        <v>313</v>
      </c>
    </row>
    <row r="110" spans="1:2" x14ac:dyDescent="0.3">
      <c r="A110">
        <v>2001</v>
      </c>
      <c r="B110" t="s">
        <v>314</v>
      </c>
    </row>
    <row r="111" spans="1:2" x14ac:dyDescent="0.3">
      <c r="A111">
        <v>2001</v>
      </c>
      <c r="B111" t="s">
        <v>315</v>
      </c>
    </row>
    <row r="112" spans="1:2" x14ac:dyDescent="0.3">
      <c r="A112">
        <v>2001</v>
      </c>
      <c r="B112" t="s">
        <v>316</v>
      </c>
    </row>
    <row r="113" spans="1:2" x14ac:dyDescent="0.3">
      <c r="A113">
        <v>2001</v>
      </c>
      <c r="B113" t="s">
        <v>317</v>
      </c>
    </row>
    <row r="114" spans="1:2" x14ac:dyDescent="0.3">
      <c r="A114">
        <v>2001</v>
      </c>
      <c r="B114" t="s">
        <v>318</v>
      </c>
    </row>
    <row r="115" spans="1:2" x14ac:dyDescent="0.3">
      <c r="A115">
        <v>2001</v>
      </c>
      <c r="B115" t="s">
        <v>319</v>
      </c>
    </row>
    <row r="116" spans="1:2" x14ac:dyDescent="0.3">
      <c r="A116">
        <v>2001</v>
      </c>
      <c r="B116" t="s">
        <v>320</v>
      </c>
    </row>
    <row r="117" spans="1:2" x14ac:dyDescent="0.3">
      <c r="A117">
        <v>2001</v>
      </c>
      <c r="B117" t="s">
        <v>321</v>
      </c>
    </row>
    <row r="118" spans="1:2" x14ac:dyDescent="0.3">
      <c r="A118">
        <v>2001</v>
      </c>
      <c r="B118" t="s">
        <v>322</v>
      </c>
    </row>
    <row r="119" spans="1:2" x14ac:dyDescent="0.3">
      <c r="A119">
        <v>2001</v>
      </c>
      <c r="B119" t="s">
        <v>323</v>
      </c>
    </row>
    <row r="120" spans="1:2" x14ac:dyDescent="0.3">
      <c r="A120">
        <v>2001</v>
      </c>
      <c r="B120" t="s">
        <v>324</v>
      </c>
    </row>
    <row r="121" spans="1:2" x14ac:dyDescent="0.3">
      <c r="A121">
        <v>2001</v>
      </c>
      <c r="B121" t="s">
        <v>325</v>
      </c>
    </row>
    <row r="122" spans="1:2" x14ac:dyDescent="0.3">
      <c r="A122">
        <v>2001</v>
      </c>
      <c r="B122" t="s">
        <v>326</v>
      </c>
    </row>
    <row r="123" spans="1:2" x14ac:dyDescent="0.3">
      <c r="A123">
        <v>2001</v>
      </c>
      <c r="B123" t="s">
        <v>327</v>
      </c>
    </row>
    <row r="124" spans="1:2" x14ac:dyDescent="0.3">
      <c r="A124">
        <v>2001</v>
      </c>
      <c r="B124" t="s">
        <v>328</v>
      </c>
    </row>
    <row r="125" spans="1:2" x14ac:dyDescent="0.3">
      <c r="A125">
        <v>2001</v>
      </c>
      <c r="B125" t="s">
        <v>329</v>
      </c>
    </row>
    <row r="126" spans="1:2" x14ac:dyDescent="0.3">
      <c r="A126">
        <v>2001</v>
      </c>
      <c r="B126" t="s">
        <v>330</v>
      </c>
    </row>
    <row r="127" spans="1:2" x14ac:dyDescent="0.3">
      <c r="A127">
        <v>2001</v>
      </c>
      <c r="B127" t="s">
        <v>331</v>
      </c>
    </row>
    <row r="128" spans="1:2" x14ac:dyDescent="0.3">
      <c r="A128">
        <v>2001</v>
      </c>
      <c r="B128" t="s">
        <v>332</v>
      </c>
    </row>
    <row r="129" spans="1:2" x14ac:dyDescent="0.3">
      <c r="A129">
        <v>2001</v>
      </c>
      <c r="B129" t="s">
        <v>333</v>
      </c>
    </row>
    <row r="130" spans="1:2" x14ac:dyDescent="0.3">
      <c r="A130">
        <v>2001</v>
      </c>
      <c r="B130" t="s">
        <v>334</v>
      </c>
    </row>
    <row r="131" spans="1:2" x14ac:dyDescent="0.3">
      <c r="A131">
        <v>2001</v>
      </c>
      <c r="B131" t="s">
        <v>335</v>
      </c>
    </row>
    <row r="132" spans="1:2" x14ac:dyDescent="0.3">
      <c r="A132">
        <v>2001</v>
      </c>
      <c r="B132" t="s">
        <v>336</v>
      </c>
    </row>
    <row r="133" spans="1:2" x14ac:dyDescent="0.3">
      <c r="A133">
        <v>2001</v>
      </c>
      <c r="B133" t="s">
        <v>337</v>
      </c>
    </row>
    <row r="134" spans="1:2" x14ac:dyDescent="0.3">
      <c r="A134">
        <v>2001</v>
      </c>
      <c r="B134" t="s">
        <v>338</v>
      </c>
    </row>
    <row r="135" spans="1:2" x14ac:dyDescent="0.3">
      <c r="A135">
        <v>2001</v>
      </c>
      <c r="B135" t="s">
        <v>339</v>
      </c>
    </row>
    <row r="136" spans="1:2" x14ac:dyDescent="0.3">
      <c r="A136">
        <v>2001</v>
      </c>
      <c r="B136" t="s">
        <v>340</v>
      </c>
    </row>
    <row r="137" spans="1:2" x14ac:dyDescent="0.3">
      <c r="A137">
        <v>2001</v>
      </c>
      <c r="B137" t="s">
        <v>341</v>
      </c>
    </row>
    <row r="138" spans="1:2" x14ac:dyDescent="0.3">
      <c r="A138">
        <v>2001</v>
      </c>
      <c r="B138" t="s">
        <v>342</v>
      </c>
    </row>
    <row r="139" spans="1:2" x14ac:dyDescent="0.3">
      <c r="A139">
        <v>2001</v>
      </c>
      <c r="B139" t="s">
        <v>343</v>
      </c>
    </row>
    <row r="140" spans="1:2" x14ac:dyDescent="0.3">
      <c r="A140">
        <v>2001</v>
      </c>
      <c r="B140" t="s">
        <v>344</v>
      </c>
    </row>
    <row r="141" spans="1:2" x14ac:dyDescent="0.3">
      <c r="A141">
        <v>2001</v>
      </c>
      <c r="B141" t="s">
        <v>345</v>
      </c>
    </row>
    <row r="142" spans="1:2" x14ac:dyDescent="0.3">
      <c r="A142">
        <v>2001</v>
      </c>
      <c r="B142" t="s">
        <v>346</v>
      </c>
    </row>
    <row r="143" spans="1:2" x14ac:dyDescent="0.3">
      <c r="A143">
        <v>2001</v>
      </c>
      <c r="B143" t="s">
        <v>347</v>
      </c>
    </row>
    <row r="144" spans="1:2" x14ac:dyDescent="0.3">
      <c r="A144">
        <v>2001</v>
      </c>
      <c r="B144" t="s">
        <v>348</v>
      </c>
    </row>
    <row r="145" spans="1:2" x14ac:dyDescent="0.3">
      <c r="A145">
        <v>2001</v>
      </c>
      <c r="B145" t="s">
        <v>349</v>
      </c>
    </row>
    <row r="146" spans="1:2" x14ac:dyDescent="0.3">
      <c r="A146">
        <v>2001</v>
      </c>
      <c r="B146" t="s">
        <v>350</v>
      </c>
    </row>
    <row r="147" spans="1:2" x14ac:dyDescent="0.3">
      <c r="A147">
        <v>2001</v>
      </c>
      <c r="B147" t="s">
        <v>351</v>
      </c>
    </row>
    <row r="148" spans="1:2" x14ac:dyDescent="0.3">
      <c r="A148">
        <v>2001</v>
      </c>
      <c r="B148" t="s">
        <v>352</v>
      </c>
    </row>
    <row r="149" spans="1:2" x14ac:dyDescent="0.3">
      <c r="A149">
        <v>2001</v>
      </c>
      <c r="B149" t="s">
        <v>353</v>
      </c>
    </row>
    <row r="150" spans="1:2" x14ac:dyDescent="0.3">
      <c r="A150">
        <v>2001</v>
      </c>
      <c r="B150" t="s">
        <v>354</v>
      </c>
    </row>
    <row r="151" spans="1:2" x14ac:dyDescent="0.3">
      <c r="A151">
        <v>2001</v>
      </c>
      <c r="B151" t="s">
        <v>355</v>
      </c>
    </row>
    <row r="152" spans="1:2" x14ac:dyDescent="0.3">
      <c r="A152">
        <v>2001</v>
      </c>
      <c r="B152" t="s">
        <v>356</v>
      </c>
    </row>
    <row r="153" spans="1:2" x14ac:dyDescent="0.3">
      <c r="A153">
        <v>2001</v>
      </c>
      <c r="B153" t="s">
        <v>357</v>
      </c>
    </row>
    <row r="154" spans="1:2" x14ac:dyDescent="0.3">
      <c r="A154">
        <v>2001</v>
      </c>
      <c r="B154" t="s">
        <v>358</v>
      </c>
    </row>
    <row r="155" spans="1:2" x14ac:dyDescent="0.3">
      <c r="A155">
        <v>2001</v>
      </c>
      <c r="B155" t="s">
        <v>359</v>
      </c>
    </row>
    <row r="156" spans="1:2" x14ac:dyDescent="0.3">
      <c r="A156">
        <v>2001</v>
      </c>
      <c r="B156" t="s">
        <v>360</v>
      </c>
    </row>
    <row r="157" spans="1:2" x14ac:dyDescent="0.3">
      <c r="A157">
        <v>2001</v>
      </c>
      <c r="B157" t="s">
        <v>361</v>
      </c>
    </row>
    <row r="158" spans="1:2" x14ac:dyDescent="0.3">
      <c r="A158">
        <v>2001</v>
      </c>
      <c r="B158" t="s">
        <v>362</v>
      </c>
    </row>
    <row r="159" spans="1:2" x14ac:dyDescent="0.3">
      <c r="A159">
        <v>2001</v>
      </c>
      <c r="B159" t="s">
        <v>363</v>
      </c>
    </row>
    <row r="160" spans="1:2" x14ac:dyDescent="0.3">
      <c r="A160">
        <v>2001</v>
      </c>
      <c r="B160" t="s">
        <v>364</v>
      </c>
    </row>
    <row r="161" spans="1:2" x14ac:dyDescent="0.3">
      <c r="A161">
        <v>2001</v>
      </c>
      <c r="B161" t="s">
        <v>365</v>
      </c>
    </row>
    <row r="162" spans="1:2" x14ac:dyDescent="0.3">
      <c r="A162">
        <v>2001</v>
      </c>
      <c r="B162" t="s">
        <v>366</v>
      </c>
    </row>
    <row r="163" spans="1:2" x14ac:dyDescent="0.3">
      <c r="A163">
        <v>2001</v>
      </c>
      <c r="B163" t="s">
        <v>367</v>
      </c>
    </row>
    <row r="164" spans="1:2" x14ac:dyDescent="0.3">
      <c r="A164">
        <v>2001</v>
      </c>
      <c r="B164" t="s">
        <v>368</v>
      </c>
    </row>
    <row r="165" spans="1:2" x14ac:dyDescent="0.3">
      <c r="A165">
        <v>2001</v>
      </c>
      <c r="B165" t="s">
        <v>369</v>
      </c>
    </row>
    <row r="166" spans="1:2" x14ac:dyDescent="0.3">
      <c r="A166">
        <v>2001</v>
      </c>
      <c r="B166" t="s">
        <v>370</v>
      </c>
    </row>
    <row r="167" spans="1:2" x14ac:dyDescent="0.3">
      <c r="A167">
        <v>2001</v>
      </c>
      <c r="B167" t="s">
        <v>371</v>
      </c>
    </row>
    <row r="168" spans="1:2" x14ac:dyDescent="0.3">
      <c r="A168">
        <v>2001</v>
      </c>
      <c r="B168" t="s">
        <v>372</v>
      </c>
    </row>
    <row r="169" spans="1:2" x14ac:dyDescent="0.3">
      <c r="A169">
        <v>2001</v>
      </c>
      <c r="B169" t="s">
        <v>373</v>
      </c>
    </row>
    <row r="170" spans="1:2" x14ac:dyDescent="0.3">
      <c r="A170">
        <v>2001</v>
      </c>
      <c r="B170" t="s">
        <v>374</v>
      </c>
    </row>
    <row r="171" spans="1:2" x14ac:dyDescent="0.3">
      <c r="A171">
        <v>2001</v>
      </c>
      <c r="B171" t="s">
        <v>375</v>
      </c>
    </row>
    <row r="172" spans="1:2" x14ac:dyDescent="0.3">
      <c r="A172">
        <v>2001</v>
      </c>
      <c r="B172" t="s">
        <v>376</v>
      </c>
    </row>
    <row r="173" spans="1:2" x14ac:dyDescent="0.3">
      <c r="A173">
        <v>2001</v>
      </c>
      <c r="B173" t="s">
        <v>377</v>
      </c>
    </row>
    <row r="174" spans="1:2" x14ac:dyDescent="0.3">
      <c r="A174">
        <v>2001</v>
      </c>
      <c r="B174" t="s">
        <v>378</v>
      </c>
    </row>
    <row r="175" spans="1:2" x14ac:dyDescent="0.3">
      <c r="A175">
        <v>2001</v>
      </c>
      <c r="B175" t="s">
        <v>379</v>
      </c>
    </row>
    <row r="176" spans="1:2" x14ac:dyDescent="0.3">
      <c r="A176">
        <v>2001</v>
      </c>
      <c r="B176" t="s">
        <v>380</v>
      </c>
    </row>
    <row r="177" spans="1:2" x14ac:dyDescent="0.3">
      <c r="A177">
        <v>2001</v>
      </c>
      <c r="B177" t="s">
        <v>381</v>
      </c>
    </row>
    <row r="178" spans="1:2" x14ac:dyDescent="0.3">
      <c r="A178">
        <v>2001</v>
      </c>
      <c r="B178" t="s">
        <v>382</v>
      </c>
    </row>
    <row r="179" spans="1:2" x14ac:dyDescent="0.3">
      <c r="A179">
        <v>2001</v>
      </c>
      <c r="B179" t="s">
        <v>383</v>
      </c>
    </row>
    <row r="180" spans="1:2" x14ac:dyDescent="0.3">
      <c r="A180">
        <v>2001</v>
      </c>
      <c r="B180" t="s">
        <v>384</v>
      </c>
    </row>
    <row r="181" spans="1:2" x14ac:dyDescent="0.3">
      <c r="A181">
        <v>2001</v>
      </c>
      <c r="B181" t="s">
        <v>385</v>
      </c>
    </row>
    <row r="182" spans="1:2" x14ac:dyDescent="0.3">
      <c r="A182">
        <v>2001</v>
      </c>
      <c r="B182" t="s">
        <v>386</v>
      </c>
    </row>
    <row r="183" spans="1:2" x14ac:dyDescent="0.3">
      <c r="A183">
        <v>2001</v>
      </c>
      <c r="B183" t="s">
        <v>387</v>
      </c>
    </row>
    <row r="184" spans="1:2" x14ac:dyDescent="0.3">
      <c r="A184">
        <v>2001</v>
      </c>
      <c r="B184" t="s">
        <v>388</v>
      </c>
    </row>
    <row r="185" spans="1:2" x14ac:dyDescent="0.3">
      <c r="A185">
        <v>2001</v>
      </c>
      <c r="B185" t="s">
        <v>389</v>
      </c>
    </row>
    <row r="186" spans="1:2" x14ac:dyDescent="0.3">
      <c r="A186">
        <v>2001</v>
      </c>
      <c r="B186" t="s">
        <v>390</v>
      </c>
    </row>
    <row r="187" spans="1:2" x14ac:dyDescent="0.3">
      <c r="A187">
        <v>2001</v>
      </c>
      <c r="B187" t="s">
        <v>391</v>
      </c>
    </row>
    <row r="188" spans="1:2" x14ac:dyDescent="0.3">
      <c r="A188">
        <v>2001</v>
      </c>
      <c r="B188" t="s">
        <v>392</v>
      </c>
    </row>
    <row r="189" spans="1:2" x14ac:dyDescent="0.3">
      <c r="A189">
        <v>2001</v>
      </c>
      <c r="B189" t="s">
        <v>393</v>
      </c>
    </row>
    <row r="190" spans="1:2" x14ac:dyDescent="0.3">
      <c r="A190">
        <v>2001</v>
      </c>
      <c r="B190" t="s">
        <v>394</v>
      </c>
    </row>
    <row r="191" spans="1:2" x14ac:dyDescent="0.3">
      <c r="A191">
        <v>2001</v>
      </c>
      <c r="B191" t="s">
        <v>395</v>
      </c>
    </row>
    <row r="192" spans="1:2" x14ac:dyDescent="0.3">
      <c r="A192">
        <v>2001</v>
      </c>
      <c r="B192" t="s">
        <v>396</v>
      </c>
    </row>
    <row r="193" spans="1:2" x14ac:dyDescent="0.3">
      <c r="A193">
        <v>2001</v>
      </c>
      <c r="B193" t="s">
        <v>397</v>
      </c>
    </row>
    <row r="194" spans="1:2" x14ac:dyDescent="0.3">
      <c r="A194">
        <v>2001</v>
      </c>
      <c r="B194" t="s">
        <v>398</v>
      </c>
    </row>
    <row r="195" spans="1:2" x14ac:dyDescent="0.3">
      <c r="A195">
        <v>2001</v>
      </c>
      <c r="B195" t="s">
        <v>399</v>
      </c>
    </row>
    <row r="196" spans="1:2" x14ac:dyDescent="0.3">
      <c r="A196">
        <v>2001</v>
      </c>
      <c r="B196" t="s">
        <v>400</v>
      </c>
    </row>
    <row r="197" spans="1:2" x14ac:dyDescent="0.3">
      <c r="A197">
        <v>2001</v>
      </c>
      <c r="B197" t="s">
        <v>401</v>
      </c>
    </row>
    <row r="198" spans="1:2" x14ac:dyDescent="0.3">
      <c r="A198">
        <v>2001</v>
      </c>
      <c r="B198" t="s">
        <v>402</v>
      </c>
    </row>
    <row r="199" spans="1:2" x14ac:dyDescent="0.3">
      <c r="A199">
        <v>2001</v>
      </c>
      <c r="B199" t="s">
        <v>403</v>
      </c>
    </row>
    <row r="200" spans="1:2" x14ac:dyDescent="0.3">
      <c r="A200">
        <v>2001</v>
      </c>
      <c r="B200" t="s">
        <v>404</v>
      </c>
    </row>
    <row r="201" spans="1:2" x14ac:dyDescent="0.3">
      <c r="A201">
        <v>2001</v>
      </c>
      <c r="B201" t="s">
        <v>405</v>
      </c>
    </row>
    <row r="202" spans="1:2" x14ac:dyDescent="0.3">
      <c r="A202">
        <v>2001</v>
      </c>
      <c r="B202" t="s">
        <v>406</v>
      </c>
    </row>
    <row r="203" spans="1:2" x14ac:dyDescent="0.3">
      <c r="A203">
        <v>2001</v>
      </c>
      <c r="B203" t="s">
        <v>407</v>
      </c>
    </row>
    <row r="204" spans="1:2" x14ac:dyDescent="0.3">
      <c r="A204">
        <v>2001</v>
      </c>
      <c r="B204" t="s">
        <v>408</v>
      </c>
    </row>
    <row r="205" spans="1:2" x14ac:dyDescent="0.3">
      <c r="A205">
        <v>2001</v>
      </c>
      <c r="B205" t="s">
        <v>409</v>
      </c>
    </row>
    <row r="206" spans="1:2" x14ac:dyDescent="0.3">
      <c r="A206">
        <v>2001</v>
      </c>
      <c r="B206" t="s">
        <v>410</v>
      </c>
    </row>
    <row r="207" spans="1:2" x14ac:dyDescent="0.3">
      <c r="A207">
        <v>2001</v>
      </c>
      <c r="B207" t="s">
        <v>411</v>
      </c>
    </row>
    <row r="208" spans="1:2" x14ac:dyDescent="0.3">
      <c r="A208">
        <v>2001</v>
      </c>
      <c r="B208" t="s">
        <v>412</v>
      </c>
    </row>
    <row r="209" spans="1:2" x14ac:dyDescent="0.3">
      <c r="A209">
        <v>2001</v>
      </c>
      <c r="B209" t="s">
        <v>413</v>
      </c>
    </row>
    <row r="210" spans="1:2" x14ac:dyDescent="0.3">
      <c r="A210">
        <v>2001</v>
      </c>
      <c r="B210" t="s">
        <v>414</v>
      </c>
    </row>
    <row r="211" spans="1:2" x14ac:dyDescent="0.3">
      <c r="A211">
        <v>2001</v>
      </c>
      <c r="B211" t="s">
        <v>415</v>
      </c>
    </row>
    <row r="212" spans="1:2" x14ac:dyDescent="0.3">
      <c r="A212">
        <v>2001</v>
      </c>
      <c r="B212" t="s">
        <v>416</v>
      </c>
    </row>
    <row r="213" spans="1:2" x14ac:dyDescent="0.3">
      <c r="A213">
        <v>2001</v>
      </c>
      <c r="B213" t="s">
        <v>417</v>
      </c>
    </row>
    <row r="214" spans="1:2" x14ac:dyDescent="0.3">
      <c r="A214">
        <v>2001</v>
      </c>
      <c r="B214" t="s">
        <v>418</v>
      </c>
    </row>
    <row r="215" spans="1:2" x14ac:dyDescent="0.3">
      <c r="A215">
        <v>2001</v>
      </c>
      <c r="B215" t="s">
        <v>419</v>
      </c>
    </row>
    <row r="216" spans="1:2" x14ac:dyDescent="0.3">
      <c r="A216">
        <v>2001</v>
      </c>
      <c r="B216" t="s">
        <v>420</v>
      </c>
    </row>
    <row r="217" spans="1:2" x14ac:dyDescent="0.3">
      <c r="A217">
        <v>2001</v>
      </c>
      <c r="B217" t="s">
        <v>421</v>
      </c>
    </row>
    <row r="218" spans="1:2" x14ac:dyDescent="0.3">
      <c r="A218">
        <v>2001</v>
      </c>
      <c r="B218" t="s">
        <v>422</v>
      </c>
    </row>
    <row r="219" spans="1:2" x14ac:dyDescent="0.3">
      <c r="A219">
        <v>2001</v>
      </c>
      <c r="B219" t="s">
        <v>423</v>
      </c>
    </row>
    <row r="220" spans="1:2" x14ac:dyDescent="0.3">
      <c r="A220">
        <v>2001</v>
      </c>
      <c r="B220" t="s">
        <v>424</v>
      </c>
    </row>
    <row r="221" spans="1:2" x14ac:dyDescent="0.3">
      <c r="A221">
        <v>2001</v>
      </c>
      <c r="B221" t="s">
        <v>425</v>
      </c>
    </row>
    <row r="222" spans="1:2" x14ac:dyDescent="0.3">
      <c r="A222">
        <v>2001</v>
      </c>
      <c r="B222" t="s">
        <v>426</v>
      </c>
    </row>
    <row r="223" spans="1:2" x14ac:dyDescent="0.3">
      <c r="A223">
        <v>2001</v>
      </c>
      <c r="B223" t="s">
        <v>427</v>
      </c>
    </row>
    <row r="224" spans="1:2" x14ac:dyDescent="0.3">
      <c r="A224">
        <v>2001</v>
      </c>
      <c r="B224" t="s">
        <v>428</v>
      </c>
    </row>
    <row r="225" spans="1:2" x14ac:dyDescent="0.3">
      <c r="A225">
        <v>2001</v>
      </c>
      <c r="B225" t="s">
        <v>429</v>
      </c>
    </row>
    <row r="226" spans="1:2" x14ac:dyDescent="0.3">
      <c r="A226">
        <v>2001</v>
      </c>
      <c r="B226" t="s">
        <v>430</v>
      </c>
    </row>
    <row r="227" spans="1:2" x14ac:dyDescent="0.3">
      <c r="A227">
        <v>2001</v>
      </c>
      <c r="B227" t="s">
        <v>431</v>
      </c>
    </row>
    <row r="228" spans="1:2" x14ac:dyDescent="0.3">
      <c r="A228">
        <v>2001</v>
      </c>
      <c r="B228" t="s">
        <v>432</v>
      </c>
    </row>
    <row r="229" spans="1:2" x14ac:dyDescent="0.3">
      <c r="A229">
        <v>2001</v>
      </c>
      <c r="B229" t="s">
        <v>433</v>
      </c>
    </row>
    <row r="230" spans="1:2" x14ac:dyDescent="0.3">
      <c r="A230">
        <v>2001</v>
      </c>
      <c r="B230" t="s">
        <v>434</v>
      </c>
    </row>
    <row r="231" spans="1:2" x14ac:dyDescent="0.3">
      <c r="A231">
        <v>2001</v>
      </c>
      <c r="B231" t="s">
        <v>435</v>
      </c>
    </row>
    <row r="232" spans="1:2" x14ac:dyDescent="0.3">
      <c r="A232">
        <v>2001</v>
      </c>
      <c r="B232" t="s">
        <v>436</v>
      </c>
    </row>
    <row r="233" spans="1:2" x14ac:dyDescent="0.3">
      <c r="A233">
        <v>2001</v>
      </c>
      <c r="B233" t="s">
        <v>437</v>
      </c>
    </row>
    <row r="234" spans="1:2" x14ac:dyDescent="0.3">
      <c r="A234">
        <v>2001</v>
      </c>
      <c r="B234" t="s">
        <v>438</v>
      </c>
    </row>
    <row r="235" spans="1:2" x14ac:dyDescent="0.3">
      <c r="A235">
        <v>2001</v>
      </c>
      <c r="B235" t="s">
        <v>439</v>
      </c>
    </row>
    <row r="236" spans="1:2" x14ac:dyDescent="0.3">
      <c r="A236">
        <v>2001</v>
      </c>
      <c r="B236" t="s">
        <v>440</v>
      </c>
    </row>
    <row r="237" spans="1:2" x14ac:dyDescent="0.3">
      <c r="A237">
        <v>2001</v>
      </c>
      <c r="B237" t="s">
        <v>441</v>
      </c>
    </row>
    <row r="238" spans="1:2" x14ac:dyDescent="0.3">
      <c r="A238">
        <v>2001</v>
      </c>
      <c r="B238" t="s">
        <v>442</v>
      </c>
    </row>
    <row r="239" spans="1:2" x14ac:dyDescent="0.3">
      <c r="A239">
        <v>2001</v>
      </c>
      <c r="B239" t="s">
        <v>443</v>
      </c>
    </row>
    <row r="240" spans="1:2" x14ac:dyDescent="0.3">
      <c r="A240">
        <v>2001</v>
      </c>
      <c r="B240" t="s">
        <v>444</v>
      </c>
    </row>
    <row r="241" spans="1:2" x14ac:dyDescent="0.3">
      <c r="A241">
        <v>2001</v>
      </c>
      <c r="B241" t="s">
        <v>445</v>
      </c>
    </row>
    <row r="242" spans="1:2" x14ac:dyDescent="0.3">
      <c r="A242">
        <v>2001</v>
      </c>
      <c r="B242" t="s">
        <v>446</v>
      </c>
    </row>
    <row r="243" spans="1:2" x14ac:dyDescent="0.3">
      <c r="A243">
        <v>2001</v>
      </c>
      <c r="B243" t="s">
        <v>447</v>
      </c>
    </row>
    <row r="244" spans="1:2" x14ac:dyDescent="0.3">
      <c r="A244">
        <v>2001</v>
      </c>
      <c r="B244" t="s">
        <v>448</v>
      </c>
    </row>
    <row r="245" spans="1:2" x14ac:dyDescent="0.3">
      <c r="A245">
        <v>2001</v>
      </c>
      <c r="B245" t="s">
        <v>449</v>
      </c>
    </row>
    <row r="246" spans="1:2" x14ac:dyDescent="0.3">
      <c r="A246">
        <v>2001</v>
      </c>
      <c r="B246" t="s">
        <v>450</v>
      </c>
    </row>
    <row r="247" spans="1:2" x14ac:dyDescent="0.3">
      <c r="A247">
        <v>2001</v>
      </c>
      <c r="B247" t="s">
        <v>451</v>
      </c>
    </row>
    <row r="248" spans="1:2" x14ac:dyDescent="0.3">
      <c r="A248">
        <v>2001</v>
      </c>
      <c r="B248" t="s">
        <v>452</v>
      </c>
    </row>
    <row r="249" spans="1:2" x14ac:dyDescent="0.3">
      <c r="A249">
        <v>2001</v>
      </c>
      <c r="B249" t="s">
        <v>453</v>
      </c>
    </row>
    <row r="250" spans="1:2" x14ac:dyDescent="0.3">
      <c r="A250">
        <v>2001</v>
      </c>
      <c r="B250" t="s">
        <v>454</v>
      </c>
    </row>
    <row r="251" spans="1:2" x14ac:dyDescent="0.3">
      <c r="A251">
        <v>2001</v>
      </c>
      <c r="B251" t="s">
        <v>455</v>
      </c>
    </row>
    <row r="252" spans="1:2" x14ac:dyDescent="0.3">
      <c r="A252">
        <v>2001</v>
      </c>
      <c r="B252" t="s">
        <v>456</v>
      </c>
    </row>
    <row r="253" spans="1:2" x14ac:dyDescent="0.3">
      <c r="A253">
        <v>2001</v>
      </c>
      <c r="B253" t="s">
        <v>457</v>
      </c>
    </row>
    <row r="254" spans="1:2" x14ac:dyDescent="0.3">
      <c r="A254">
        <v>2001</v>
      </c>
      <c r="B254" t="s">
        <v>458</v>
      </c>
    </row>
    <row r="255" spans="1:2" x14ac:dyDescent="0.3">
      <c r="A255">
        <v>2001</v>
      </c>
      <c r="B255" t="s">
        <v>459</v>
      </c>
    </row>
    <row r="256" spans="1:2" x14ac:dyDescent="0.3">
      <c r="A256">
        <v>2001</v>
      </c>
      <c r="B256" t="s">
        <v>460</v>
      </c>
    </row>
    <row r="257" spans="1:2" x14ac:dyDescent="0.3">
      <c r="A257">
        <v>2001</v>
      </c>
      <c r="B257" t="s">
        <v>461</v>
      </c>
    </row>
    <row r="258" spans="1:2" x14ac:dyDescent="0.3">
      <c r="A258">
        <v>2001</v>
      </c>
      <c r="B258" t="s">
        <v>462</v>
      </c>
    </row>
    <row r="259" spans="1:2" x14ac:dyDescent="0.3">
      <c r="A259">
        <v>2001</v>
      </c>
      <c r="B259" t="s">
        <v>463</v>
      </c>
    </row>
    <row r="260" spans="1:2" x14ac:dyDescent="0.3">
      <c r="A260">
        <v>2001</v>
      </c>
      <c r="B260" t="s">
        <v>464</v>
      </c>
    </row>
    <row r="261" spans="1:2" x14ac:dyDescent="0.3">
      <c r="A261">
        <v>2001</v>
      </c>
      <c r="B261" t="s">
        <v>465</v>
      </c>
    </row>
    <row r="262" spans="1:2" x14ac:dyDescent="0.3">
      <c r="A262">
        <v>2001</v>
      </c>
      <c r="B262" t="s">
        <v>466</v>
      </c>
    </row>
    <row r="263" spans="1:2" x14ac:dyDescent="0.3">
      <c r="A263">
        <v>2001</v>
      </c>
      <c r="B263" t="s">
        <v>467</v>
      </c>
    </row>
    <row r="264" spans="1:2" x14ac:dyDescent="0.3">
      <c r="A264">
        <v>2001</v>
      </c>
      <c r="B264" t="s">
        <v>468</v>
      </c>
    </row>
    <row r="265" spans="1:2" x14ac:dyDescent="0.3">
      <c r="A265">
        <v>2001</v>
      </c>
      <c r="B265" t="s">
        <v>469</v>
      </c>
    </row>
    <row r="266" spans="1:2" x14ac:dyDescent="0.3">
      <c r="A266">
        <v>2001</v>
      </c>
      <c r="B266" t="s">
        <v>470</v>
      </c>
    </row>
    <row r="267" spans="1:2" x14ac:dyDescent="0.3">
      <c r="A267">
        <v>2001</v>
      </c>
      <c r="B267" t="s">
        <v>471</v>
      </c>
    </row>
    <row r="268" spans="1:2" x14ac:dyDescent="0.3">
      <c r="A268">
        <v>2001</v>
      </c>
      <c r="B268" t="s">
        <v>472</v>
      </c>
    </row>
    <row r="269" spans="1:2" x14ac:dyDescent="0.3">
      <c r="A269">
        <v>2001</v>
      </c>
      <c r="B269" t="s">
        <v>473</v>
      </c>
    </row>
    <row r="270" spans="1:2" x14ac:dyDescent="0.3">
      <c r="A270">
        <v>2001</v>
      </c>
      <c r="B270" t="s">
        <v>474</v>
      </c>
    </row>
    <row r="271" spans="1:2" x14ac:dyDescent="0.3">
      <c r="A271">
        <v>2001</v>
      </c>
      <c r="B271" t="s">
        <v>475</v>
      </c>
    </row>
    <row r="272" spans="1:2" x14ac:dyDescent="0.3">
      <c r="A272">
        <v>2001</v>
      </c>
      <c r="B272" t="s">
        <v>476</v>
      </c>
    </row>
    <row r="273" spans="1:2" x14ac:dyDescent="0.3">
      <c r="A273">
        <v>2001</v>
      </c>
      <c r="B273" t="s">
        <v>477</v>
      </c>
    </row>
    <row r="274" spans="1:2" x14ac:dyDescent="0.3">
      <c r="A274">
        <v>2001</v>
      </c>
      <c r="B274" t="s">
        <v>478</v>
      </c>
    </row>
    <row r="275" spans="1:2" x14ac:dyDescent="0.3">
      <c r="A275">
        <v>2001</v>
      </c>
      <c r="B275" t="s">
        <v>479</v>
      </c>
    </row>
    <row r="276" spans="1:2" x14ac:dyDescent="0.3">
      <c r="A276">
        <v>2001</v>
      </c>
      <c r="B276" t="s">
        <v>480</v>
      </c>
    </row>
    <row r="277" spans="1:2" x14ac:dyDescent="0.3">
      <c r="A277">
        <v>2001</v>
      </c>
      <c r="B277" t="s">
        <v>481</v>
      </c>
    </row>
    <row r="278" spans="1:2" x14ac:dyDescent="0.3">
      <c r="A278">
        <v>2001</v>
      </c>
      <c r="B278" t="s">
        <v>482</v>
      </c>
    </row>
    <row r="279" spans="1:2" x14ac:dyDescent="0.3">
      <c r="A279">
        <v>2001</v>
      </c>
      <c r="B279" t="s">
        <v>483</v>
      </c>
    </row>
    <row r="280" spans="1:2" x14ac:dyDescent="0.3">
      <c r="A280">
        <v>2001</v>
      </c>
      <c r="B280" t="s">
        <v>484</v>
      </c>
    </row>
    <row r="281" spans="1:2" x14ac:dyDescent="0.3">
      <c r="A281">
        <v>2001</v>
      </c>
      <c r="B281" t="s">
        <v>485</v>
      </c>
    </row>
    <row r="282" spans="1:2" x14ac:dyDescent="0.3">
      <c r="A282">
        <v>2001</v>
      </c>
      <c r="B282" t="s">
        <v>486</v>
      </c>
    </row>
    <row r="283" spans="1:2" x14ac:dyDescent="0.3">
      <c r="A283">
        <v>2001</v>
      </c>
      <c r="B283" t="s">
        <v>487</v>
      </c>
    </row>
    <row r="284" spans="1:2" x14ac:dyDescent="0.3">
      <c r="A284">
        <v>2001</v>
      </c>
      <c r="B284" t="s">
        <v>488</v>
      </c>
    </row>
    <row r="285" spans="1:2" x14ac:dyDescent="0.3">
      <c r="A285">
        <v>2001</v>
      </c>
      <c r="B285" t="s">
        <v>489</v>
      </c>
    </row>
    <row r="286" spans="1:2" x14ac:dyDescent="0.3">
      <c r="A286">
        <v>2001</v>
      </c>
      <c r="B286" t="s">
        <v>490</v>
      </c>
    </row>
    <row r="287" spans="1:2" x14ac:dyDescent="0.3">
      <c r="A287">
        <v>2001</v>
      </c>
      <c r="B287" t="s">
        <v>491</v>
      </c>
    </row>
    <row r="288" spans="1:2" x14ac:dyDescent="0.3">
      <c r="A288">
        <v>2001</v>
      </c>
      <c r="B288" t="s">
        <v>492</v>
      </c>
    </row>
    <row r="289" spans="1:2" x14ac:dyDescent="0.3">
      <c r="A289">
        <v>2001</v>
      </c>
      <c r="B289" t="s">
        <v>493</v>
      </c>
    </row>
    <row r="290" spans="1:2" x14ac:dyDescent="0.3">
      <c r="A290">
        <v>2001</v>
      </c>
      <c r="B290" t="s">
        <v>494</v>
      </c>
    </row>
    <row r="291" spans="1:2" x14ac:dyDescent="0.3">
      <c r="A291">
        <v>2001</v>
      </c>
      <c r="B291" t="s">
        <v>495</v>
      </c>
    </row>
    <row r="292" spans="1:2" x14ac:dyDescent="0.3">
      <c r="A292">
        <v>2001</v>
      </c>
      <c r="B292" t="s">
        <v>496</v>
      </c>
    </row>
    <row r="293" spans="1:2" x14ac:dyDescent="0.3">
      <c r="A293">
        <v>2001</v>
      </c>
      <c r="B293" t="s">
        <v>497</v>
      </c>
    </row>
    <row r="294" spans="1:2" x14ac:dyDescent="0.3">
      <c r="A294">
        <v>2001</v>
      </c>
      <c r="B294" t="s">
        <v>498</v>
      </c>
    </row>
    <row r="295" spans="1:2" x14ac:dyDescent="0.3">
      <c r="A295">
        <v>2001</v>
      </c>
      <c r="B295" t="s">
        <v>499</v>
      </c>
    </row>
    <row r="296" spans="1:2" x14ac:dyDescent="0.3">
      <c r="A296">
        <v>2001</v>
      </c>
      <c r="B296" t="s">
        <v>500</v>
      </c>
    </row>
    <row r="297" spans="1:2" x14ac:dyDescent="0.3">
      <c r="A297">
        <v>2001</v>
      </c>
      <c r="B297" t="s">
        <v>501</v>
      </c>
    </row>
    <row r="298" spans="1:2" x14ac:dyDescent="0.3">
      <c r="A298">
        <v>2001</v>
      </c>
      <c r="B298" t="s">
        <v>502</v>
      </c>
    </row>
    <row r="299" spans="1:2" x14ac:dyDescent="0.3">
      <c r="A299">
        <v>2001</v>
      </c>
      <c r="B299" t="s">
        <v>503</v>
      </c>
    </row>
    <row r="300" spans="1:2" x14ac:dyDescent="0.3">
      <c r="A300">
        <v>2001</v>
      </c>
      <c r="B300" t="s">
        <v>504</v>
      </c>
    </row>
    <row r="301" spans="1:2" x14ac:dyDescent="0.3">
      <c r="A301">
        <v>2001</v>
      </c>
      <c r="B301" t="s">
        <v>505</v>
      </c>
    </row>
    <row r="302" spans="1:2" x14ac:dyDescent="0.3">
      <c r="A302">
        <v>2001</v>
      </c>
      <c r="B302" t="s">
        <v>506</v>
      </c>
    </row>
    <row r="303" spans="1:2" x14ac:dyDescent="0.3">
      <c r="A303">
        <v>2001</v>
      </c>
      <c r="B303" t="s">
        <v>507</v>
      </c>
    </row>
    <row r="304" spans="1:2" x14ac:dyDescent="0.3">
      <c r="A304">
        <v>2001</v>
      </c>
      <c r="B304" t="s">
        <v>508</v>
      </c>
    </row>
    <row r="305" spans="1:2" x14ac:dyDescent="0.3">
      <c r="A305">
        <v>2001</v>
      </c>
      <c r="B305" t="s">
        <v>509</v>
      </c>
    </row>
    <row r="306" spans="1:2" x14ac:dyDescent="0.3">
      <c r="A306">
        <v>2001</v>
      </c>
      <c r="B306" t="s">
        <v>510</v>
      </c>
    </row>
    <row r="307" spans="1:2" x14ac:dyDescent="0.3">
      <c r="A307">
        <v>2001</v>
      </c>
      <c r="B307" t="s">
        <v>511</v>
      </c>
    </row>
    <row r="308" spans="1:2" x14ac:dyDescent="0.3">
      <c r="A308">
        <v>2001</v>
      </c>
      <c r="B308" t="s">
        <v>512</v>
      </c>
    </row>
    <row r="309" spans="1:2" x14ac:dyDescent="0.3">
      <c r="A309">
        <v>2001</v>
      </c>
      <c r="B309" t="s">
        <v>513</v>
      </c>
    </row>
    <row r="310" spans="1:2" x14ac:dyDescent="0.3">
      <c r="A310">
        <v>2001</v>
      </c>
      <c r="B310" t="s">
        <v>514</v>
      </c>
    </row>
    <row r="311" spans="1:2" x14ac:dyDescent="0.3">
      <c r="A311">
        <v>2001</v>
      </c>
      <c r="B311" t="s">
        <v>515</v>
      </c>
    </row>
    <row r="312" spans="1:2" x14ac:dyDescent="0.3">
      <c r="A312">
        <v>2001</v>
      </c>
      <c r="B312" t="s">
        <v>516</v>
      </c>
    </row>
    <row r="313" spans="1:2" x14ac:dyDescent="0.3">
      <c r="A313">
        <v>2001</v>
      </c>
      <c r="B313" t="s">
        <v>517</v>
      </c>
    </row>
    <row r="314" spans="1:2" x14ac:dyDescent="0.3">
      <c r="A314">
        <v>2001</v>
      </c>
      <c r="B314" t="s">
        <v>518</v>
      </c>
    </row>
    <row r="315" spans="1:2" x14ac:dyDescent="0.3">
      <c r="A315">
        <v>2001</v>
      </c>
      <c r="B315" t="s">
        <v>519</v>
      </c>
    </row>
    <row r="316" spans="1:2" x14ac:dyDescent="0.3">
      <c r="A316">
        <v>2001</v>
      </c>
      <c r="B316" t="s">
        <v>520</v>
      </c>
    </row>
    <row r="317" spans="1:2" x14ac:dyDescent="0.3">
      <c r="A317">
        <v>2001</v>
      </c>
      <c r="B317" t="s">
        <v>521</v>
      </c>
    </row>
    <row r="318" spans="1:2" x14ac:dyDescent="0.3">
      <c r="A318">
        <v>2001</v>
      </c>
      <c r="B318" t="s">
        <v>522</v>
      </c>
    </row>
    <row r="319" spans="1:2" x14ac:dyDescent="0.3">
      <c r="A319">
        <v>2001</v>
      </c>
      <c r="B319" t="s">
        <v>523</v>
      </c>
    </row>
    <row r="320" spans="1:2" x14ac:dyDescent="0.3">
      <c r="A320">
        <v>2001</v>
      </c>
      <c r="B320" t="s">
        <v>524</v>
      </c>
    </row>
    <row r="321" spans="1:2" x14ac:dyDescent="0.3">
      <c r="A321">
        <v>2001</v>
      </c>
      <c r="B321" t="s">
        <v>525</v>
      </c>
    </row>
    <row r="322" spans="1:2" x14ac:dyDescent="0.3">
      <c r="A322">
        <v>2001</v>
      </c>
      <c r="B322" t="s">
        <v>526</v>
      </c>
    </row>
    <row r="323" spans="1:2" x14ac:dyDescent="0.3">
      <c r="A323">
        <v>2001</v>
      </c>
      <c r="B323" t="s">
        <v>527</v>
      </c>
    </row>
    <row r="324" spans="1:2" x14ac:dyDescent="0.3">
      <c r="A324">
        <v>2001</v>
      </c>
      <c r="B324" t="s">
        <v>528</v>
      </c>
    </row>
    <row r="325" spans="1:2" x14ac:dyDescent="0.3">
      <c r="A325">
        <v>2001</v>
      </c>
      <c r="B325" t="s">
        <v>529</v>
      </c>
    </row>
    <row r="326" spans="1:2" x14ac:dyDescent="0.3">
      <c r="A326">
        <v>2001</v>
      </c>
      <c r="B326" t="s">
        <v>530</v>
      </c>
    </row>
    <row r="327" spans="1:2" x14ac:dyDescent="0.3">
      <c r="A327">
        <v>2001</v>
      </c>
      <c r="B327" t="s">
        <v>531</v>
      </c>
    </row>
    <row r="328" spans="1:2" x14ac:dyDescent="0.3">
      <c r="A328">
        <v>2001</v>
      </c>
      <c r="B328" t="s">
        <v>532</v>
      </c>
    </row>
    <row r="329" spans="1:2" x14ac:dyDescent="0.3">
      <c r="A329">
        <v>2001</v>
      </c>
      <c r="B329" t="s">
        <v>533</v>
      </c>
    </row>
    <row r="330" spans="1:2" x14ac:dyDescent="0.3">
      <c r="A330">
        <v>2001</v>
      </c>
      <c r="B330" t="s">
        <v>534</v>
      </c>
    </row>
    <row r="331" spans="1:2" x14ac:dyDescent="0.3">
      <c r="A331">
        <v>2001</v>
      </c>
      <c r="B331" t="s">
        <v>535</v>
      </c>
    </row>
    <row r="332" spans="1:2" x14ac:dyDescent="0.3">
      <c r="A332">
        <v>2001</v>
      </c>
      <c r="B332" t="s">
        <v>536</v>
      </c>
    </row>
    <row r="333" spans="1:2" x14ac:dyDescent="0.3">
      <c r="A333">
        <v>2001</v>
      </c>
      <c r="B333" t="s">
        <v>537</v>
      </c>
    </row>
    <row r="334" spans="1:2" x14ac:dyDescent="0.3">
      <c r="A334">
        <v>2001</v>
      </c>
      <c r="B334" t="s">
        <v>538</v>
      </c>
    </row>
    <row r="335" spans="1:2" x14ac:dyDescent="0.3">
      <c r="A335">
        <v>2001</v>
      </c>
      <c r="B335" t="s">
        <v>539</v>
      </c>
    </row>
    <row r="336" spans="1:2" x14ac:dyDescent="0.3">
      <c r="A336">
        <v>2001</v>
      </c>
      <c r="B336" t="s">
        <v>540</v>
      </c>
    </row>
    <row r="337" spans="1:2" x14ac:dyDescent="0.3">
      <c r="A337">
        <v>2001</v>
      </c>
      <c r="B337" t="s">
        <v>541</v>
      </c>
    </row>
    <row r="338" spans="1:2" x14ac:dyDescent="0.3">
      <c r="A338">
        <v>2001</v>
      </c>
      <c r="B338" t="s">
        <v>542</v>
      </c>
    </row>
    <row r="339" spans="1:2" x14ac:dyDescent="0.3">
      <c r="A339">
        <v>2001</v>
      </c>
      <c r="B339" t="s">
        <v>543</v>
      </c>
    </row>
    <row r="340" spans="1:2" x14ac:dyDescent="0.3">
      <c r="A340">
        <v>2001</v>
      </c>
      <c r="B340" t="s">
        <v>544</v>
      </c>
    </row>
    <row r="341" spans="1:2" x14ac:dyDescent="0.3">
      <c r="A341">
        <v>2001</v>
      </c>
      <c r="B341" t="s">
        <v>545</v>
      </c>
    </row>
    <row r="342" spans="1:2" x14ac:dyDescent="0.3">
      <c r="A342">
        <v>2001</v>
      </c>
      <c r="B342" t="s">
        <v>546</v>
      </c>
    </row>
    <row r="343" spans="1:2" x14ac:dyDescent="0.3">
      <c r="A343">
        <v>2001</v>
      </c>
      <c r="B343" t="s">
        <v>547</v>
      </c>
    </row>
    <row r="344" spans="1:2" x14ac:dyDescent="0.3">
      <c r="A344">
        <v>2001</v>
      </c>
      <c r="B344" t="s">
        <v>548</v>
      </c>
    </row>
    <row r="345" spans="1:2" x14ac:dyDescent="0.3">
      <c r="A345">
        <v>2001</v>
      </c>
      <c r="B345" t="s">
        <v>549</v>
      </c>
    </row>
    <row r="346" spans="1:2" x14ac:dyDescent="0.3">
      <c r="A346">
        <v>2001</v>
      </c>
      <c r="B346" t="s">
        <v>550</v>
      </c>
    </row>
    <row r="347" spans="1:2" x14ac:dyDescent="0.3">
      <c r="A347">
        <v>2001</v>
      </c>
      <c r="B347" t="s">
        <v>551</v>
      </c>
    </row>
    <row r="348" spans="1:2" x14ac:dyDescent="0.3">
      <c r="A348">
        <v>2001</v>
      </c>
      <c r="B348" t="s">
        <v>552</v>
      </c>
    </row>
    <row r="349" spans="1:2" x14ac:dyDescent="0.3">
      <c r="A349">
        <v>2001</v>
      </c>
      <c r="B349" t="s">
        <v>553</v>
      </c>
    </row>
    <row r="350" spans="1:2" x14ac:dyDescent="0.3">
      <c r="A350">
        <v>2001</v>
      </c>
      <c r="B350" t="s">
        <v>554</v>
      </c>
    </row>
    <row r="351" spans="1:2" x14ac:dyDescent="0.3">
      <c r="A351">
        <v>2001</v>
      </c>
      <c r="B351" t="s">
        <v>555</v>
      </c>
    </row>
    <row r="352" spans="1:2" x14ac:dyDescent="0.3">
      <c r="A352">
        <v>2001</v>
      </c>
      <c r="B352" t="s">
        <v>556</v>
      </c>
    </row>
    <row r="353" spans="1:2" x14ac:dyDescent="0.3">
      <c r="A353">
        <v>2001</v>
      </c>
      <c r="B353" t="s">
        <v>557</v>
      </c>
    </row>
    <row r="354" spans="1:2" x14ac:dyDescent="0.3">
      <c r="A354">
        <v>2001</v>
      </c>
      <c r="B354" t="s">
        <v>558</v>
      </c>
    </row>
    <row r="355" spans="1:2" x14ac:dyDescent="0.3">
      <c r="A355">
        <v>2001</v>
      </c>
      <c r="B355" t="s">
        <v>559</v>
      </c>
    </row>
    <row r="356" spans="1:2" x14ac:dyDescent="0.3">
      <c r="A356">
        <v>2001</v>
      </c>
      <c r="B356" t="s">
        <v>560</v>
      </c>
    </row>
    <row r="357" spans="1:2" x14ac:dyDescent="0.3">
      <c r="A357">
        <v>2001</v>
      </c>
      <c r="B357" t="s">
        <v>561</v>
      </c>
    </row>
    <row r="358" spans="1:2" x14ac:dyDescent="0.3">
      <c r="A358">
        <v>2001</v>
      </c>
      <c r="B358" t="s">
        <v>562</v>
      </c>
    </row>
    <row r="359" spans="1:2" x14ac:dyDescent="0.3">
      <c r="A359">
        <v>2001</v>
      </c>
      <c r="B359" t="s">
        <v>563</v>
      </c>
    </row>
    <row r="360" spans="1:2" x14ac:dyDescent="0.3">
      <c r="A360">
        <v>2001</v>
      </c>
      <c r="B360" t="s">
        <v>564</v>
      </c>
    </row>
    <row r="361" spans="1:2" x14ac:dyDescent="0.3">
      <c r="A361">
        <v>2001</v>
      </c>
      <c r="B361" t="s">
        <v>565</v>
      </c>
    </row>
    <row r="362" spans="1:2" x14ac:dyDescent="0.3">
      <c r="A362">
        <v>2001</v>
      </c>
      <c r="B362" t="s">
        <v>566</v>
      </c>
    </row>
    <row r="363" spans="1:2" x14ac:dyDescent="0.3">
      <c r="A363">
        <v>2001</v>
      </c>
      <c r="B363" t="s">
        <v>567</v>
      </c>
    </row>
    <row r="364" spans="1:2" x14ac:dyDescent="0.3">
      <c r="A364">
        <v>2001</v>
      </c>
      <c r="B364" t="s">
        <v>568</v>
      </c>
    </row>
    <row r="365" spans="1:2" x14ac:dyDescent="0.3">
      <c r="A365">
        <v>2001</v>
      </c>
      <c r="B365" t="s">
        <v>569</v>
      </c>
    </row>
    <row r="366" spans="1:2" x14ac:dyDescent="0.3">
      <c r="A366">
        <v>2001</v>
      </c>
      <c r="B366" t="s">
        <v>570</v>
      </c>
    </row>
    <row r="367" spans="1:2" x14ac:dyDescent="0.3">
      <c r="A367">
        <v>2001</v>
      </c>
      <c r="B367" t="s">
        <v>571</v>
      </c>
    </row>
    <row r="368" spans="1:2" x14ac:dyDescent="0.3">
      <c r="A368">
        <v>2001</v>
      </c>
      <c r="B368" t="s">
        <v>572</v>
      </c>
    </row>
    <row r="369" spans="1:2" x14ac:dyDescent="0.3">
      <c r="A369">
        <v>2001</v>
      </c>
      <c r="B369" t="s">
        <v>573</v>
      </c>
    </row>
    <row r="370" spans="1:2" x14ac:dyDescent="0.3">
      <c r="A370">
        <v>2001</v>
      </c>
      <c r="B370" t="s">
        <v>574</v>
      </c>
    </row>
    <row r="371" spans="1:2" x14ac:dyDescent="0.3">
      <c r="A371">
        <v>2001</v>
      </c>
      <c r="B371" t="s">
        <v>575</v>
      </c>
    </row>
    <row r="372" spans="1:2" x14ac:dyDescent="0.3">
      <c r="A372">
        <v>2001</v>
      </c>
      <c r="B372" t="s">
        <v>576</v>
      </c>
    </row>
    <row r="373" spans="1:2" x14ac:dyDescent="0.3">
      <c r="A373">
        <v>2001</v>
      </c>
      <c r="B373" t="s">
        <v>577</v>
      </c>
    </row>
    <row r="374" spans="1:2" x14ac:dyDescent="0.3">
      <c r="A374">
        <v>2001</v>
      </c>
      <c r="B374" t="s">
        <v>578</v>
      </c>
    </row>
    <row r="375" spans="1:2" x14ac:dyDescent="0.3">
      <c r="A375">
        <v>2001</v>
      </c>
      <c r="B375" t="s">
        <v>579</v>
      </c>
    </row>
    <row r="376" spans="1:2" x14ac:dyDescent="0.3">
      <c r="A376">
        <v>2001</v>
      </c>
      <c r="B376" t="s">
        <v>580</v>
      </c>
    </row>
    <row r="377" spans="1:2" x14ac:dyDescent="0.3">
      <c r="A377">
        <v>2001</v>
      </c>
      <c r="B377" t="s">
        <v>581</v>
      </c>
    </row>
    <row r="378" spans="1:2" x14ac:dyDescent="0.3">
      <c r="A378">
        <v>2001</v>
      </c>
      <c r="B378" t="s">
        <v>582</v>
      </c>
    </row>
    <row r="379" spans="1:2" x14ac:dyDescent="0.3">
      <c r="A379">
        <v>2001</v>
      </c>
      <c r="B379" t="s">
        <v>583</v>
      </c>
    </row>
    <row r="380" spans="1:2" x14ac:dyDescent="0.3">
      <c r="A380">
        <v>2001</v>
      </c>
      <c r="B380" t="s">
        <v>584</v>
      </c>
    </row>
    <row r="381" spans="1:2" x14ac:dyDescent="0.3">
      <c r="A381">
        <v>2001</v>
      </c>
      <c r="B381" t="s">
        <v>585</v>
      </c>
    </row>
    <row r="382" spans="1:2" x14ac:dyDescent="0.3">
      <c r="A382">
        <v>2001</v>
      </c>
      <c r="B382" t="s">
        <v>586</v>
      </c>
    </row>
    <row r="383" spans="1:2" x14ac:dyDescent="0.3">
      <c r="A383">
        <v>2001</v>
      </c>
      <c r="B383" t="s">
        <v>587</v>
      </c>
    </row>
    <row r="384" spans="1:2" x14ac:dyDescent="0.3">
      <c r="A384">
        <v>2001</v>
      </c>
      <c r="B384" t="s">
        <v>588</v>
      </c>
    </row>
    <row r="385" spans="1:2" x14ac:dyDescent="0.3">
      <c r="A385">
        <v>2001</v>
      </c>
      <c r="B385" t="s">
        <v>589</v>
      </c>
    </row>
    <row r="386" spans="1:2" x14ac:dyDescent="0.3">
      <c r="A386">
        <v>2001</v>
      </c>
      <c r="B386" t="s">
        <v>590</v>
      </c>
    </row>
    <row r="387" spans="1:2" x14ac:dyDescent="0.3">
      <c r="A387">
        <v>2001</v>
      </c>
      <c r="B387" t="s">
        <v>591</v>
      </c>
    </row>
    <row r="388" spans="1:2" x14ac:dyDescent="0.3">
      <c r="A388">
        <v>2001</v>
      </c>
      <c r="B388" t="s">
        <v>592</v>
      </c>
    </row>
    <row r="389" spans="1:2" x14ac:dyDescent="0.3">
      <c r="A389">
        <v>2001</v>
      </c>
      <c r="B389" t="s">
        <v>593</v>
      </c>
    </row>
    <row r="390" spans="1:2" x14ac:dyDescent="0.3">
      <c r="A390">
        <v>2001</v>
      </c>
      <c r="B390" t="s">
        <v>594</v>
      </c>
    </row>
    <row r="391" spans="1:2" x14ac:dyDescent="0.3">
      <c r="A391">
        <v>2001</v>
      </c>
      <c r="B391" t="s">
        <v>595</v>
      </c>
    </row>
    <row r="392" spans="1:2" x14ac:dyDescent="0.3">
      <c r="A392">
        <v>2001</v>
      </c>
      <c r="B392" t="s">
        <v>596</v>
      </c>
    </row>
    <row r="393" spans="1:2" x14ac:dyDescent="0.3">
      <c r="A393">
        <v>2001</v>
      </c>
      <c r="B393" t="s">
        <v>597</v>
      </c>
    </row>
    <row r="394" spans="1:2" x14ac:dyDescent="0.3">
      <c r="A394">
        <v>2001</v>
      </c>
      <c r="B394" t="s">
        <v>598</v>
      </c>
    </row>
    <row r="395" spans="1:2" x14ac:dyDescent="0.3">
      <c r="A395">
        <v>2001</v>
      </c>
      <c r="B395" t="s">
        <v>599</v>
      </c>
    </row>
    <row r="396" spans="1:2" x14ac:dyDescent="0.3">
      <c r="A396">
        <v>2001</v>
      </c>
      <c r="B396" t="s">
        <v>600</v>
      </c>
    </row>
    <row r="397" spans="1:2" x14ac:dyDescent="0.3">
      <c r="A397">
        <v>2001</v>
      </c>
      <c r="B397" t="s">
        <v>601</v>
      </c>
    </row>
    <row r="398" spans="1:2" x14ac:dyDescent="0.3">
      <c r="A398">
        <v>2001</v>
      </c>
      <c r="B398" t="s">
        <v>602</v>
      </c>
    </row>
    <row r="399" spans="1:2" x14ac:dyDescent="0.3">
      <c r="A399">
        <v>2001</v>
      </c>
      <c r="B399" t="s">
        <v>603</v>
      </c>
    </row>
    <row r="400" spans="1:2" x14ac:dyDescent="0.3">
      <c r="A400">
        <v>2001</v>
      </c>
      <c r="B400" t="s">
        <v>604</v>
      </c>
    </row>
    <row r="401" spans="1:2" x14ac:dyDescent="0.3">
      <c r="A401">
        <v>2001</v>
      </c>
      <c r="B401" t="s">
        <v>605</v>
      </c>
    </row>
    <row r="402" spans="1:2" x14ac:dyDescent="0.3">
      <c r="A402">
        <v>2001</v>
      </c>
      <c r="B402" t="s">
        <v>606</v>
      </c>
    </row>
    <row r="403" spans="1:2" x14ac:dyDescent="0.3">
      <c r="A403">
        <v>2001</v>
      </c>
      <c r="B403" t="s">
        <v>607</v>
      </c>
    </row>
    <row r="404" spans="1:2" x14ac:dyDescent="0.3">
      <c r="A404">
        <v>2001</v>
      </c>
      <c r="B404" t="s">
        <v>608</v>
      </c>
    </row>
    <row r="405" spans="1:2" x14ac:dyDescent="0.3">
      <c r="A405">
        <v>2001</v>
      </c>
      <c r="B405" t="s">
        <v>609</v>
      </c>
    </row>
    <row r="406" spans="1:2" x14ac:dyDescent="0.3">
      <c r="A406">
        <v>2001</v>
      </c>
      <c r="B406" t="s">
        <v>610</v>
      </c>
    </row>
    <row r="407" spans="1:2" x14ac:dyDescent="0.3">
      <c r="A407">
        <v>2001</v>
      </c>
      <c r="B407" t="s">
        <v>611</v>
      </c>
    </row>
    <row r="408" spans="1:2" x14ac:dyDescent="0.3">
      <c r="A408">
        <v>2001</v>
      </c>
      <c r="B408" t="s">
        <v>612</v>
      </c>
    </row>
    <row r="409" spans="1:2" x14ac:dyDescent="0.3">
      <c r="A409">
        <v>2001</v>
      </c>
      <c r="B409" t="s">
        <v>613</v>
      </c>
    </row>
    <row r="410" spans="1:2" x14ac:dyDescent="0.3">
      <c r="A410">
        <v>2001</v>
      </c>
      <c r="B410" t="s">
        <v>614</v>
      </c>
    </row>
    <row r="411" spans="1:2" x14ac:dyDescent="0.3">
      <c r="A411">
        <v>2001</v>
      </c>
      <c r="B411" t="s">
        <v>615</v>
      </c>
    </row>
    <row r="412" spans="1:2" x14ac:dyDescent="0.3">
      <c r="A412">
        <v>2001</v>
      </c>
      <c r="B412" t="s">
        <v>616</v>
      </c>
    </row>
    <row r="413" spans="1:2" x14ac:dyDescent="0.3">
      <c r="A413">
        <v>2001</v>
      </c>
      <c r="B413" t="s">
        <v>617</v>
      </c>
    </row>
    <row r="414" spans="1:2" x14ac:dyDescent="0.3">
      <c r="A414">
        <v>2001</v>
      </c>
      <c r="B414" t="s">
        <v>618</v>
      </c>
    </row>
    <row r="415" spans="1:2" x14ac:dyDescent="0.3">
      <c r="A415">
        <v>2001</v>
      </c>
      <c r="B415" t="s">
        <v>619</v>
      </c>
    </row>
    <row r="416" spans="1:2" x14ac:dyDescent="0.3">
      <c r="A416">
        <v>2001</v>
      </c>
      <c r="B416" t="s">
        <v>620</v>
      </c>
    </row>
    <row r="417" spans="1:2" x14ac:dyDescent="0.3">
      <c r="A417">
        <v>2001</v>
      </c>
      <c r="B417" t="s">
        <v>621</v>
      </c>
    </row>
    <row r="418" spans="1:2" x14ac:dyDescent="0.3">
      <c r="A418">
        <v>2001</v>
      </c>
      <c r="B418" t="s">
        <v>622</v>
      </c>
    </row>
    <row r="419" spans="1:2" x14ac:dyDescent="0.3">
      <c r="A419">
        <v>2001</v>
      </c>
      <c r="B419" t="s">
        <v>623</v>
      </c>
    </row>
    <row r="420" spans="1:2" x14ac:dyDescent="0.3">
      <c r="A420">
        <v>2001</v>
      </c>
      <c r="B420" t="s">
        <v>624</v>
      </c>
    </row>
    <row r="421" spans="1:2" x14ac:dyDescent="0.3">
      <c r="A421">
        <v>2001</v>
      </c>
      <c r="B421" t="s">
        <v>625</v>
      </c>
    </row>
    <row r="422" spans="1:2" x14ac:dyDescent="0.3">
      <c r="A422">
        <v>2001</v>
      </c>
      <c r="B422" t="s">
        <v>626</v>
      </c>
    </row>
    <row r="423" spans="1:2" x14ac:dyDescent="0.3">
      <c r="A423">
        <v>2001</v>
      </c>
      <c r="B423" t="s">
        <v>627</v>
      </c>
    </row>
    <row r="424" spans="1:2" x14ac:dyDescent="0.3">
      <c r="A424">
        <v>2001</v>
      </c>
      <c r="B424" t="s">
        <v>628</v>
      </c>
    </row>
    <row r="425" spans="1:2" x14ac:dyDescent="0.3">
      <c r="A425">
        <v>2001</v>
      </c>
      <c r="B425" t="s">
        <v>629</v>
      </c>
    </row>
    <row r="426" spans="1:2" x14ac:dyDescent="0.3">
      <c r="A426">
        <v>2001</v>
      </c>
      <c r="B426" t="s">
        <v>630</v>
      </c>
    </row>
    <row r="427" spans="1:2" x14ac:dyDescent="0.3">
      <c r="A427">
        <v>2001</v>
      </c>
      <c r="B427" t="s">
        <v>631</v>
      </c>
    </row>
    <row r="428" spans="1:2" x14ac:dyDescent="0.3">
      <c r="A428">
        <v>2001</v>
      </c>
      <c r="B428" t="s">
        <v>632</v>
      </c>
    </row>
    <row r="429" spans="1:2" x14ac:dyDescent="0.3">
      <c r="A429">
        <v>2001</v>
      </c>
      <c r="B429" t="s">
        <v>633</v>
      </c>
    </row>
    <row r="430" spans="1:2" x14ac:dyDescent="0.3">
      <c r="A430">
        <v>2001</v>
      </c>
      <c r="B430" t="s">
        <v>634</v>
      </c>
    </row>
    <row r="431" spans="1:2" x14ac:dyDescent="0.3">
      <c r="A431">
        <v>2001</v>
      </c>
      <c r="B431" t="s">
        <v>635</v>
      </c>
    </row>
    <row r="432" spans="1:2" x14ac:dyDescent="0.3">
      <c r="A432">
        <v>2001</v>
      </c>
      <c r="B432" t="s">
        <v>636</v>
      </c>
    </row>
    <row r="433" spans="1:2" x14ac:dyDescent="0.3">
      <c r="A433">
        <v>2001</v>
      </c>
      <c r="B433" t="s">
        <v>637</v>
      </c>
    </row>
    <row r="434" spans="1:2" x14ac:dyDescent="0.3">
      <c r="A434">
        <v>2001</v>
      </c>
      <c r="B434" t="s">
        <v>638</v>
      </c>
    </row>
    <row r="435" spans="1:2" x14ac:dyDescent="0.3">
      <c r="A435">
        <v>2001</v>
      </c>
      <c r="B435" t="s">
        <v>639</v>
      </c>
    </row>
    <row r="436" spans="1:2" x14ac:dyDescent="0.3">
      <c r="A436">
        <v>2001</v>
      </c>
      <c r="B436" t="s">
        <v>640</v>
      </c>
    </row>
    <row r="437" spans="1:2" x14ac:dyDescent="0.3">
      <c r="A437">
        <v>2001</v>
      </c>
      <c r="B437" t="s">
        <v>641</v>
      </c>
    </row>
    <row r="438" spans="1:2" x14ac:dyDescent="0.3">
      <c r="A438">
        <v>2001</v>
      </c>
      <c r="B438" t="s">
        <v>642</v>
      </c>
    </row>
    <row r="439" spans="1:2" x14ac:dyDescent="0.3">
      <c r="A439">
        <v>2001</v>
      </c>
      <c r="B439" t="s">
        <v>643</v>
      </c>
    </row>
    <row r="440" spans="1:2" x14ac:dyDescent="0.3">
      <c r="A440">
        <v>2001</v>
      </c>
      <c r="B440" t="s">
        <v>644</v>
      </c>
    </row>
    <row r="441" spans="1:2" x14ac:dyDescent="0.3">
      <c r="A441">
        <v>2001</v>
      </c>
      <c r="B441" t="s">
        <v>645</v>
      </c>
    </row>
    <row r="442" spans="1:2" x14ac:dyDescent="0.3">
      <c r="A442">
        <v>2001</v>
      </c>
      <c r="B442" t="s">
        <v>646</v>
      </c>
    </row>
    <row r="443" spans="1:2" x14ac:dyDescent="0.3">
      <c r="A443">
        <v>2001</v>
      </c>
      <c r="B443" t="s">
        <v>647</v>
      </c>
    </row>
    <row r="444" spans="1:2" x14ac:dyDescent="0.3">
      <c r="A444">
        <v>2001</v>
      </c>
      <c r="B444" t="s">
        <v>648</v>
      </c>
    </row>
    <row r="445" spans="1:2" x14ac:dyDescent="0.3">
      <c r="A445">
        <v>2001</v>
      </c>
      <c r="B445" t="s">
        <v>649</v>
      </c>
    </row>
    <row r="446" spans="1:2" x14ac:dyDescent="0.3">
      <c r="A446">
        <v>2001</v>
      </c>
      <c r="B446" t="s">
        <v>650</v>
      </c>
    </row>
    <row r="447" spans="1:2" x14ac:dyDescent="0.3">
      <c r="A447">
        <v>2001</v>
      </c>
      <c r="B447" t="s">
        <v>651</v>
      </c>
    </row>
    <row r="448" spans="1:2" x14ac:dyDescent="0.3">
      <c r="A448">
        <v>2001</v>
      </c>
      <c r="B448" t="s">
        <v>652</v>
      </c>
    </row>
    <row r="449" spans="1:2" x14ac:dyDescent="0.3">
      <c r="A449">
        <v>2001</v>
      </c>
      <c r="B449" t="s">
        <v>653</v>
      </c>
    </row>
    <row r="450" spans="1:2" x14ac:dyDescent="0.3">
      <c r="A450">
        <v>2001</v>
      </c>
      <c r="B450" t="s">
        <v>654</v>
      </c>
    </row>
    <row r="451" spans="1:2" x14ac:dyDescent="0.3">
      <c r="A451">
        <v>2001</v>
      </c>
      <c r="B451" t="s">
        <v>655</v>
      </c>
    </row>
    <row r="452" spans="1:2" x14ac:dyDescent="0.3">
      <c r="A452">
        <v>2001</v>
      </c>
      <c r="B452" t="s">
        <v>656</v>
      </c>
    </row>
    <row r="453" spans="1:2" x14ac:dyDescent="0.3">
      <c r="A453">
        <v>2001</v>
      </c>
      <c r="B453" t="s">
        <v>657</v>
      </c>
    </row>
    <row r="454" spans="1:2" x14ac:dyDescent="0.3">
      <c r="A454">
        <v>2001</v>
      </c>
      <c r="B454" t="s">
        <v>658</v>
      </c>
    </row>
    <row r="455" spans="1:2" x14ac:dyDescent="0.3">
      <c r="A455">
        <v>2001</v>
      </c>
      <c r="B455" t="s">
        <v>659</v>
      </c>
    </row>
    <row r="456" spans="1:2" x14ac:dyDescent="0.3">
      <c r="A456">
        <v>2001</v>
      </c>
      <c r="B456" t="s">
        <v>660</v>
      </c>
    </row>
    <row r="457" spans="1:2" x14ac:dyDescent="0.3">
      <c r="A457">
        <v>2001</v>
      </c>
      <c r="B457" t="s">
        <v>661</v>
      </c>
    </row>
    <row r="458" spans="1:2" x14ac:dyDescent="0.3">
      <c r="A458">
        <v>2001</v>
      </c>
      <c r="B458" t="s">
        <v>662</v>
      </c>
    </row>
    <row r="459" spans="1:2" x14ac:dyDescent="0.3">
      <c r="A459">
        <v>2001</v>
      </c>
      <c r="B459" t="s">
        <v>663</v>
      </c>
    </row>
    <row r="460" spans="1:2" x14ac:dyDescent="0.3">
      <c r="A460">
        <v>2001</v>
      </c>
      <c r="B460" t="s">
        <v>664</v>
      </c>
    </row>
    <row r="461" spans="1:2" x14ac:dyDescent="0.3">
      <c r="A461">
        <v>2001</v>
      </c>
      <c r="B461" t="s">
        <v>665</v>
      </c>
    </row>
    <row r="462" spans="1:2" x14ac:dyDescent="0.3">
      <c r="A462">
        <v>2001</v>
      </c>
      <c r="B462" t="s">
        <v>666</v>
      </c>
    </row>
    <row r="463" spans="1:2" x14ac:dyDescent="0.3">
      <c r="A463">
        <v>2001</v>
      </c>
      <c r="B463" t="s">
        <v>667</v>
      </c>
    </row>
    <row r="464" spans="1:2" x14ac:dyDescent="0.3">
      <c r="A464">
        <v>2001</v>
      </c>
      <c r="B464" t="s">
        <v>668</v>
      </c>
    </row>
    <row r="465" spans="1:2" x14ac:dyDescent="0.3">
      <c r="A465">
        <v>2001</v>
      </c>
      <c r="B465" t="s">
        <v>669</v>
      </c>
    </row>
    <row r="466" spans="1:2" x14ac:dyDescent="0.3">
      <c r="A466">
        <v>2001</v>
      </c>
      <c r="B466" t="s">
        <v>670</v>
      </c>
    </row>
    <row r="467" spans="1:2" x14ac:dyDescent="0.3">
      <c r="A467">
        <v>2001</v>
      </c>
      <c r="B467" t="s">
        <v>671</v>
      </c>
    </row>
    <row r="468" spans="1:2" x14ac:dyDescent="0.3">
      <c r="A468">
        <v>2001</v>
      </c>
      <c r="B468" t="s">
        <v>672</v>
      </c>
    </row>
    <row r="469" spans="1:2" x14ac:dyDescent="0.3">
      <c r="A469">
        <v>2001</v>
      </c>
      <c r="B469" t="s">
        <v>673</v>
      </c>
    </row>
    <row r="470" spans="1:2" x14ac:dyDescent="0.3">
      <c r="A470">
        <v>2001</v>
      </c>
      <c r="B470" t="s">
        <v>674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45433-1D07-4B1D-BE8B-07E490EE8880}">
  <sheetPr codeName="Planilha8"/>
  <dimension ref="A1:F52"/>
  <sheetViews>
    <sheetView workbookViewId="0">
      <selection activeCell="H8" sqref="H8"/>
    </sheetView>
  </sheetViews>
  <sheetFormatPr defaultRowHeight="14.4" x14ac:dyDescent="0.3"/>
  <cols>
    <col min="1" max="1" width="35.5546875" customWidth="1"/>
    <col min="2" max="2" width="13" bestFit="1" customWidth="1"/>
    <col min="3" max="3" width="13.109375" customWidth="1"/>
    <col min="4" max="4" width="30.33203125" bestFit="1" customWidth="1"/>
    <col min="6" max="6" width="10.6640625" customWidth="1"/>
  </cols>
  <sheetData>
    <row r="1" spans="1:6" x14ac:dyDescent="0.3">
      <c r="A1" s="103" t="s">
        <v>675</v>
      </c>
      <c r="B1" s="103" t="s">
        <v>208</v>
      </c>
      <c r="C1" s="103" t="s">
        <v>676</v>
      </c>
      <c r="D1" s="103" t="s">
        <v>675</v>
      </c>
      <c r="E1" s="103" t="s">
        <v>206</v>
      </c>
      <c r="F1" s="103" t="s">
        <v>208</v>
      </c>
    </row>
    <row r="2" spans="1:6" x14ac:dyDescent="0.3">
      <c r="A2" s="104" t="s">
        <v>677</v>
      </c>
      <c r="B2" s="105">
        <v>1001</v>
      </c>
      <c r="C2" s="104" t="s">
        <v>678</v>
      </c>
      <c r="D2" s="104" t="s">
        <v>679</v>
      </c>
      <c r="E2">
        <v>1</v>
      </c>
      <c r="F2">
        <f>B2</f>
        <v>1001</v>
      </c>
    </row>
    <row r="3" spans="1:6" x14ac:dyDescent="0.3">
      <c r="A3" s="104" t="s">
        <v>680</v>
      </c>
      <c r="B3" s="105">
        <v>1002</v>
      </c>
      <c r="C3" s="104" t="s">
        <v>681</v>
      </c>
      <c r="D3" s="104" t="s">
        <v>682</v>
      </c>
      <c r="E3">
        <v>2</v>
      </c>
      <c r="F3">
        <f t="shared" ref="F3:F52" si="0">B3</f>
        <v>1002</v>
      </c>
    </row>
    <row r="4" spans="1:6" x14ac:dyDescent="0.3">
      <c r="A4" s="104" t="s">
        <v>683</v>
      </c>
      <c r="B4" s="105">
        <v>1003</v>
      </c>
      <c r="C4" s="104" t="s">
        <v>684</v>
      </c>
      <c r="D4" s="104" t="s">
        <v>685</v>
      </c>
      <c r="E4">
        <v>3</v>
      </c>
      <c r="F4">
        <f t="shared" si="0"/>
        <v>1003</v>
      </c>
    </row>
    <row r="5" spans="1:6" x14ac:dyDescent="0.3">
      <c r="A5" s="104" t="s">
        <v>686</v>
      </c>
      <c r="B5" s="105">
        <v>1004</v>
      </c>
      <c r="C5" s="104" t="s">
        <v>687</v>
      </c>
      <c r="D5" s="104" t="s">
        <v>688</v>
      </c>
      <c r="E5">
        <v>4</v>
      </c>
      <c r="F5">
        <f t="shared" si="0"/>
        <v>1004</v>
      </c>
    </row>
    <row r="6" spans="1:6" x14ac:dyDescent="0.3">
      <c r="A6" s="104" t="s">
        <v>689</v>
      </c>
      <c r="B6" s="105">
        <v>1005</v>
      </c>
      <c r="C6" s="104" t="s">
        <v>690</v>
      </c>
      <c r="D6" s="104" t="s">
        <v>691</v>
      </c>
      <c r="E6">
        <v>5</v>
      </c>
      <c r="F6">
        <f t="shared" si="0"/>
        <v>1005</v>
      </c>
    </row>
    <row r="7" spans="1:6" x14ac:dyDescent="0.3">
      <c r="A7" s="104" t="s">
        <v>692</v>
      </c>
      <c r="B7" s="105">
        <v>1050</v>
      </c>
      <c r="C7" s="104" t="s">
        <v>693</v>
      </c>
      <c r="D7" s="104" t="s">
        <v>693</v>
      </c>
      <c r="E7">
        <v>6</v>
      </c>
      <c r="F7">
        <f t="shared" si="0"/>
        <v>1050</v>
      </c>
    </row>
    <row r="8" spans="1:6" x14ac:dyDescent="0.3">
      <c r="A8" s="104" t="s">
        <v>694</v>
      </c>
      <c r="B8" s="105">
        <v>1052</v>
      </c>
      <c r="C8" s="104" t="s">
        <v>693</v>
      </c>
      <c r="D8" s="104" t="s">
        <v>693</v>
      </c>
      <c r="E8">
        <v>7</v>
      </c>
      <c r="F8">
        <f t="shared" si="0"/>
        <v>1052</v>
      </c>
    </row>
    <row r="9" spans="1:6" x14ac:dyDescent="0.3">
      <c r="A9" s="104" t="s">
        <v>695</v>
      </c>
      <c r="B9" s="105">
        <v>1053</v>
      </c>
      <c r="C9" s="104" t="s">
        <v>693</v>
      </c>
      <c r="D9" s="104" t="s">
        <v>693</v>
      </c>
      <c r="E9">
        <v>8</v>
      </c>
      <c r="F9">
        <f t="shared" si="0"/>
        <v>1053</v>
      </c>
    </row>
    <row r="10" spans="1:6" x14ac:dyDescent="0.3">
      <c r="A10" s="104" t="s">
        <v>696</v>
      </c>
      <c r="B10" s="105">
        <v>1054</v>
      </c>
      <c r="C10" s="104" t="s">
        <v>693</v>
      </c>
      <c r="D10" s="104" t="s">
        <v>693</v>
      </c>
      <c r="E10">
        <v>9</v>
      </c>
      <c r="F10">
        <f t="shared" si="0"/>
        <v>1054</v>
      </c>
    </row>
    <row r="11" spans="1:6" x14ac:dyDescent="0.3">
      <c r="A11" s="104" t="s">
        <v>697</v>
      </c>
      <c r="B11" s="105">
        <v>1055</v>
      </c>
      <c r="C11" s="104" t="s">
        <v>693</v>
      </c>
      <c r="D11" s="104" t="s">
        <v>693</v>
      </c>
      <c r="E11">
        <v>10</v>
      </c>
      <c r="F11">
        <f t="shared" si="0"/>
        <v>1055</v>
      </c>
    </row>
    <row r="12" spans="1:6" x14ac:dyDescent="0.3">
      <c r="A12" s="104" t="s">
        <v>698</v>
      </c>
      <c r="B12" s="105">
        <v>2001</v>
      </c>
      <c r="C12" s="104" t="s">
        <v>699</v>
      </c>
      <c r="D12" s="104" t="s">
        <v>700</v>
      </c>
      <c r="E12">
        <v>11</v>
      </c>
      <c r="F12">
        <f t="shared" si="0"/>
        <v>2001</v>
      </c>
    </row>
    <row r="13" spans="1:6" x14ac:dyDescent="0.3">
      <c r="A13" s="104" t="s">
        <v>701</v>
      </c>
      <c r="B13" s="105">
        <v>3001</v>
      </c>
      <c r="C13" s="104" t="s">
        <v>702</v>
      </c>
      <c r="D13" s="104" t="s">
        <v>703</v>
      </c>
      <c r="E13">
        <v>12</v>
      </c>
      <c r="F13">
        <f t="shared" si="0"/>
        <v>3001</v>
      </c>
    </row>
    <row r="14" spans="1:6" x14ac:dyDescent="0.3">
      <c r="A14" s="104" t="s">
        <v>704</v>
      </c>
      <c r="B14" s="105">
        <v>3002</v>
      </c>
      <c r="C14" s="104" t="s">
        <v>705</v>
      </c>
      <c r="D14" s="104" t="s">
        <v>706</v>
      </c>
      <c r="E14">
        <v>13</v>
      </c>
      <c r="F14">
        <f t="shared" si="0"/>
        <v>3002</v>
      </c>
    </row>
    <row r="15" spans="1:6" x14ac:dyDescent="0.3">
      <c r="A15" s="104" t="s">
        <v>707</v>
      </c>
      <c r="B15" s="105">
        <v>3003</v>
      </c>
      <c r="C15" s="104" t="s">
        <v>708</v>
      </c>
      <c r="D15" s="104" t="s">
        <v>709</v>
      </c>
      <c r="E15">
        <v>14</v>
      </c>
      <c r="F15">
        <f t="shared" si="0"/>
        <v>3003</v>
      </c>
    </row>
    <row r="16" spans="1:6" x14ac:dyDescent="0.3">
      <c r="A16" s="104" t="s">
        <v>710</v>
      </c>
      <c r="B16" s="105">
        <v>3004</v>
      </c>
      <c r="C16" s="104" t="s">
        <v>711</v>
      </c>
      <c r="D16" s="104" t="s">
        <v>712</v>
      </c>
      <c r="E16">
        <v>15</v>
      </c>
      <c r="F16">
        <f t="shared" si="0"/>
        <v>3004</v>
      </c>
    </row>
    <row r="17" spans="1:6" x14ac:dyDescent="0.3">
      <c r="A17" s="104" t="s">
        <v>713</v>
      </c>
      <c r="B17" s="105">
        <v>3006</v>
      </c>
      <c r="C17" s="104" t="s">
        <v>714</v>
      </c>
      <c r="D17" s="104" t="s">
        <v>715</v>
      </c>
      <c r="E17">
        <v>16</v>
      </c>
      <c r="F17">
        <f t="shared" si="0"/>
        <v>3006</v>
      </c>
    </row>
    <row r="18" spans="1:6" x14ac:dyDescent="0.3">
      <c r="A18" s="104" t="s">
        <v>716</v>
      </c>
      <c r="B18" s="105">
        <v>3007</v>
      </c>
      <c r="C18" s="104" t="s">
        <v>717</v>
      </c>
      <c r="D18" s="104" t="s">
        <v>718</v>
      </c>
      <c r="E18">
        <v>17</v>
      </c>
      <c r="F18">
        <f t="shared" si="0"/>
        <v>3007</v>
      </c>
    </row>
    <row r="19" spans="1:6" x14ac:dyDescent="0.3">
      <c r="A19" s="104" t="s">
        <v>719</v>
      </c>
      <c r="B19" s="105">
        <v>3008</v>
      </c>
      <c r="C19" s="104" t="s">
        <v>720</v>
      </c>
      <c r="D19" s="104" t="s">
        <v>721</v>
      </c>
      <c r="E19">
        <v>18</v>
      </c>
      <c r="F19">
        <f t="shared" si="0"/>
        <v>3008</v>
      </c>
    </row>
    <row r="20" spans="1:6" x14ac:dyDescent="0.3">
      <c r="A20" s="104" t="s">
        <v>722</v>
      </c>
      <c r="B20" s="105">
        <v>3009</v>
      </c>
      <c r="C20" s="104" t="s">
        <v>723</v>
      </c>
      <c r="D20" s="104" t="s">
        <v>724</v>
      </c>
      <c r="E20">
        <v>19</v>
      </c>
      <c r="F20">
        <f t="shared" si="0"/>
        <v>3009</v>
      </c>
    </row>
    <row r="21" spans="1:6" x14ac:dyDescent="0.3">
      <c r="A21" s="104" t="s">
        <v>725</v>
      </c>
      <c r="B21" s="105">
        <v>3010</v>
      </c>
      <c r="C21" s="104" t="s">
        <v>726</v>
      </c>
      <c r="D21" s="104" t="s">
        <v>727</v>
      </c>
      <c r="E21">
        <v>20</v>
      </c>
      <c r="F21">
        <f t="shared" si="0"/>
        <v>3010</v>
      </c>
    </row>
    <row r="22" spans="1:6" x14ac:dyDescent="0.3">
      <c r="A22" s="104" t="s">
        <v>728</v>
      </c>
      <c r="B22" s="105">
        <v>3011</v>
      </c>
      <c r="C22" s="104" t="s">
        <v>729</v>
      </c>
      <c r="D22" s="104" t="s">
        <v>730</v>
      </c>
      <c r="E22">
        <v>21</v>
      </c>
      <c r="F22">
        <f t="shared" si="0"/>
        <v>3011</v>
      </c>
    </row>
    <row r="23" spans="1:6" x14ac:dyDescent="0.3">
      <c r="A23" s="104" t="s">
        <v>731</v>
      </c>
      <c r="B23" s="105">
        <v>3012</v>
      </c>
      <c r="C23" s="104" t="s">
        <v>693</v>
      </c>
      <c r="D23" s="104" t="s">
        <v>693</v>
      </c>
      <c r="E23">
        <v>22</v>
      </c>
      <c r="F23">
        <f t="shared" si="0"/>
        <v>3012</v>
      </c>
    </row>
    <row r="24" spans="1:6" x14ac:dyDescent="0.3">
      <c r="A24" s="104" t="s">
        <v>732</v>
      </c>
      <c r="B24" s="105">
        <v>4001</v>
      </c>
      <c r="C24" s="104" t="s">
        <v>733</v>
      </c>
      <c r="D24" s="104" t="s">
        <v>734</v>
      </c>
      <c r="E24">
        <v>23</v>
      </c>
      <c r="F24">
        <f t="shared" si="0"/>
        <v>4001</v>
      </c>
    </row>
    <row r="25" spans="1:6" x14ac:dyDescent="0.3">
      <c r="A25" s="104" t="s">
        <v>735</v>
      </c>
      <c r="B25" s="105">
        <v>4003</v>
      </c>
      <c r="C25" s="104" t="s">
        <v>736</v>
      </c>
      <c r="D25" s="104" t="s">
        <v>737</v>
      </c>
      <c r="E25">
        <v>24</v>
      </c>
      <c r="F25">
        <f t="shared" si="0"/>
        <v>4003</v>
      </c>
    </row>
    <row r="26" spans="1:6" x14ac:dyDescent="0.3">
      <c r="A26" s="104" t="s">
        <v>738</v>
      </c>
      <c r="B26" s="105">
        <v>4006</v>
      </c>
      <c r="C26" s="104" t="s">
        <v>693</v>
      </c>
      <c r="D26" s="104" t="s">
        <v>693</v>
      </c>
      <c r="E26">
        <v>25</v>
      </c>
      <c r="F26">
        <f t="shared" si="0"/>
        <v>4006</v>
      </c>
    </row>
    <row r="27" spans="1:6" x14ac:dyDescent="0.3">
      <c r="A27" s="104" t="s">
        <v>739</v>
      </c>
      <c r="B27" s="105">
        <v>4007</v>
      </c>
      <c r="C27" s="104" t="s">
        <v>740</v>
      </c>
      <c r="D27" s="104" t="s">
        <v>741</v>
      </c>
      <c r="E27">
        <v>26</v>
      </c>
      <c r="F27">
        <f t="shared" si="0"/>
        <v>4007</v>
      </c>
    </row>
    <row r="28" spans="1:6" x14ac:dyDescent="0.3">
      <c r="A28" s="104" t="s">
        <v>742</v>
      </c>
      <c r="B28" s="105">
        <v>4008</v>
      </c>
      <c r="C28" s="104" t="s">
        <v>743</v>
      </c>
      <c r="D28" s="104" t="s">
        <v>744</v>
      </c>
      <c r="E28">
        <v>27</v>
      </c>
      <c r="F28">
        <f t="shared" si="0"/>
        <v>4008</v>
      </c>
    </row>
    <row r="29" spans="1:6" x14ac:dyDescent="0.3">
      <c r="A29" s="104" t="s">
        <v>745</v>
      </c>
      <c r="B29" s="105">
        <v>4009</v>
      </c>
      <c r="C29" s="104" t="s">
        <v>746</v>
      </c>
      <c r="D29" s="104" t="s">
        <v>747</v>
      </c>
      <c r="E29">
        <v>28</v>
      </c>
      <c r="F29">
        <f t="shared" si="0"/>
        <v>4009</v>
      </c>
    </row>
    <row r="30" spans="1:6" x14ac:dyDescent="0.3">
      <c r="A30" s="104" t="s">
        <v>748</v>
      </c>
      <c r="B30" s="105">
        <v>4010</v>
      </c>
      <c r="C30" s="104" t="s">
        <v>693</v>
      </c>
      <c r="D30" s="104" t="s">
        <v>693</v>
      </c>
      <c r="E30">
        <v>29</v>
      </c>
      <c r="F30">
        <f t="shared" si="0"/>
        <v>4010</v>
      </c>
    </row>
    <row r="31" spans="1:6" x14ac:dyDescent="0.3">
      <c r="A31" s="104" t="s">
        <v>749</v>
      </c>
      <c r="B31" s="105">
        <v>4015</v>
      </c>
      <c r="C31" s="104" t="s">
        <v>750</v>
      </c>
      <c r="D31" s="104" t="s">
        <v>751</v>
      </c>
      <c r="E31">
        <v>30</v>
      </c>
      <c r="F31">
        <f t="shared" si="0"/>
        <v>4015</v>
      </c>
    </row>
    <row r="32" spans="1:6" x14ac:dyDescent="0.3">
      <c r="A32" s="104" t="s">
        <v>752</v>
      </c>
      <c r="B32" s="105">
        <v>4016</v>
      </c>
      <c r="C32" s="104" t="s">
        <v>693</v>
      </c>
      <c r="D32" s="104" t="s">
        <v>693</v>
      </c>
      <c r="E32">
        <v>31</v>
      </c>
      <c r="F32">
        <f t="shared" si="0"/>
        <v>4016</v>
      </c>
    </row>
    <row r="33" spans="1:6" x14ac:dyDescent="0.3">
      <c r="A33" s="104" t="s">
        <v>753</v>
      </c>
      <c r="B33" s="105">
        <v>4017</v>
      </c>
      <c r="C33" s="104" t="s">
        <v>754</v>
      </c>
      <c r="D33" s="104" t="s">
        <v>755</v>
      </c>
      <c r="E33">
        <v>32</v>
      </c>
      <c r="F33">
        <f t="shared" si="0"/>
        <v>4017</v>
      </c>
    </row>
    <row r="34" spans="1:6" x14ac:dyDescent="0.3">
      <c r="A34" s="104" t="s">
        <v>756</v>
      </c>
      <c r="B34" s="105">
        <v>4018</v>
      </c>
      <c r="C34" s="104" t="s">
        <v>693</v>
      </c>
      <c r="D34" s="104" t="s">
        <v>693</v>
      </c>
      <c r="E34">
        <v>33</v>
      </c>
      <c r="F34">
        <f t="shared" si="0"/>
        <v>4018</v>
      </c>
    </row>
    <row r="35" spans="1:6" x14ac:dyDescent="0.3">
      <c r="A35" s="104" t="s">
        <v>757</v>
      </c>
      <c r="B35" s="105">
        <v>4025</v>
      </c>
      <c r="C35" s="104" t="s">
        <v>758</v>
      </c>
      <c r="D35" s="104" t="s">
        <v>759</v>
      </c>
      <c r="E35">
        <v>34</v>
      </c>
      <c r="F35">
        <f t="shared" si="0"/>
        <v>4025</v>
      </c>
    </row>
    <row r="36" spans="1:6" x14ac:dyDescent="0.3">
      <c r="A36" s="104" t="s">
        <v>760</v>
      </c>
      <c r="B36" s="105">
        <v>4026</v>
      </c>
      <c r="C36" s="104" t="s">
        <v>693</v>
      </c>
      <c r="D36" s="104" t="s">
        <v>693</v>
      </c>
      <c r="E36">
        <v>35</v>
      </c>
      <c r="F36">
        <f t="shared" si="0"/>
        <v>4026</v>
      </c>
    </row>
    <row r="37" spans="1:6" x14ac:dyDescent="0.3">
      <c r="A37" s="104" t="s">
        <v>761</v>
      </c>
      <c r="B37" s="105">
        <v>4027</v>
      </c>
      <c r="C37" s="104" t="s">
        <v>762</v>
      </c>
      <c r="D37" s="104" t="s">
        <v>763</v>
      </c>
      <c r="E37">
        <v>36</v>
      </c>
      <c r="F37">
        <f t="shared" si="0"/>
        <v>4027</v>
      </c>
    </row>
    <row r="38" spans="1:6" x14ac:dyDescent="0.3">
      <c r="A38" s="104" t="s">
        <v>764</v>
      </c>
      <c r="B38" s="105">
        <v>4028</v>
      </c>
      <c r="C38" s="104" t="s">
        <v>693</v>
      </c>
      <c r="D38" s="104" t="s">
        <v>693</v>
      </c>
      <c r="E38">
        <v>37</v>
      </c>
      <c r="F38">
        <f t="shared" si="0"/>
        <v>4028</v>
      </c>
    </row>
    <row r="39" spans="1:6" x14ac:dyDescent="0.3">
      <c r="A39" s="104" t="s">
        <v>765</v>
      </c>
      <c r="B39" s="105">
        <v>4050</v>
      </c>
      <c r="C39" s="104" t="s">
        <v>693</v>
      </c>
      <c r="D39" s="104" t="s">
        <v>693</v>
      </c>
      <c r="E39">
        <v>38</v>
      </c>
      <c r="F39">
        <f t="shared" si="0"/>
        <v>4050</v>
      </c>
    </row>
    <row r="40" spans="1:6" x14ac:dyDescent="0.3">
      <c r="A40" s="104" t="s">
        <v>766</v>
      </c>
      <c r="B40" s="105">
        <v>5001</v>
      </c>
      <c r="C40" s="104" t="s">
        <v>767</v>
      </c>
      <c r="D40" s="104" t="s">
        <v>768</v>
      </c>
      <c r="E40">
        <v>39</v>
      </c>
      <c r="F40">
        <f t="shared" si="0"/>
        <v>5001</v>
      </c>
    </row>
    <row r="41" spans="1:6" x14ac:dyDescent="0.3">
      <c r="A41" s="104" t="s">
        <v>769</v>
      </c>
      <c r="B41" s="105">
        <v>5003</v>
      </c>
      <c r="C41" s="104" t="s">
        <v>770</v>
      </c>
      <c r="D41" s="104" t="s">
        <v>771</v>
      </c>
      <c r="E41">
        <v>40</v>
      </c>
      <c r="F41">
        <f t="shared" si="0"/>
        <v>5003</v>
      </c>
    </row>
    <row r="42" spans="1:6" x14ac:dyDescent="0.3">
      <c r="A42" s="104" t="s">
        <v>772</v>
      </c>
      <c r="B42" s="105">
        <v>5005</v>
      </c>
      <c r="C42" s="104" t="s">
        <v>773</v>
      </c>
      <c r="D42" s="104" t="s">
        <v>774</v>
      </c>
      <c r="E42">
        <v>41</v>
      </c>
      <c r="F42">
        <f t="shared" si="0"/>
        <v>5005</v>
      </c>
    </row>
    <row r="43" spans="1:6" x14ac:dyDescent="0.3">
      <c r="A43" s="104" t="s">
        <v>775</v>
      </c>
      <c r="B43" s="105">
        <v>5051</v>
      </c>
      <c r="C43" s="104" t="s">
        <v>693</v>
      </c>
      <c r="D43" s="104" t="s">
        <v>693</v>
      </c>
      <c r="E43">
        <v>42</v>
      </c>
      <c r="F43">
        <f t="shared" si="0"/>
        <v>5051</v>
      </c>
    </row>
    <row r="44" spans="1:6" x14ac:dyDescent="0.3">
      <c r="A44" s="104" t="s">
        <v>776</v>
      </c>
      <c r="B44" s="105">
        <v>5053</v>
      </c>
      <c r="C44" s="104" t="s">
        <v>693</v>
      </c>
      <c r="D44" s="104" t="s">
        <v>693</v>
      </c>
      <c r="E44">
        <v>43</v>
      </c>
      <c r="F44">
        <f t="shared" si="0"/>
        <v>5053</v>
      </c>
    </row>
    <row r="45" spans="1:6" x14ac:dyDescent="0.3">
      <c r="A45" s="104" t="s">
        <v>777</v>
      </c>
      <c r="B45" s="105">
        <v>5055</v>
      </c>
      <c r="C45" s="104" t="s">
        <v>693</v>
      </c>
      <c r="D45" s="104" t="s">
        <v>693</v>
      </c>
      <c r="E45">
        <v>44</v>
      </c>
      <c r="F45">
        <f t="shared" si="0"/>
        <v>5055</v>
      </c>
    </row>
    <row r="46" spans="1:6" x14ac:dyDescent="0.3">
      <c r="A46" s="104" t="s">
        <v>778</v>
      </c>
      <c r="B46" s="105">
        <v>6001</v>
      </c>
      <c r="C46" s="104" t="s">
        <v>779</v>
      </c>
      <c r="D46" s="104" t="s">
        <v>780</v>
      </c>
      <c r="E46">
        <v>45</v>
      </c>
      <c r="F46">
        <f t="shared" si="0"/>
        <v>6001</v>
      </c>
    </row>
    <row r="47" spans="1:6" x14ac:dyDescent="0.3">
      <c r="A47" s="104" t="s">
        <v>781</v>
      </c>
      <c r="B47" s="105">
        <v>6002</v>
      </c>
      <c r="C47" s="104" t="s">
        <v>782</v>
      </c>
      <c r="D47" s="104" t="s">
        <v>783</v>
      </c>
      <c r="E47">
        <v>46</v>
      </c>
      <c r="F47">
        <f t="shared" si="0"/>
        <v>6002</v>
      </c>
    </row>
    <row r="48" spans="1:6" x14ac:dyDescent="0.3">
      <c r="A48" s="104" t="s">
        <v>784</v>
      </c>
      <c r="B48" s="105">
        <v>7002</v>
      </c>
      <c r="C48" s="104" t="s">
        <v>785</v>
      </c>
      <c r="D48" s="104" t="s">
        <v>786</v>
      </c>
      <c r="E48">
        <v>47</v>
      </c>
      <c r="F48">
        <f t="shared" si="0"/>
        <v>7002</v>
      </c>
    </row>
    <row r="49" spans="1:6" x14ac:dyDescent="0.3">
      <c r="A49" s="104" t="s">
        <v>787</v>
      </c>
      <c r="B49" s="105">
        <v>7003</v>
      </c>
      <c r="C49" s="104" t="s">
        <v>693</v>
      </c>
      <c r="D49" s="104" t="s">
        <v>693</v>
      </c>
      <c r="E49">
        <v>48</v>
      </c>
      <c r="F49">
        <f t="shared" si="0"/>
        <v>7003</v>
      </c>
    </row>
    <row r="50" spans="1:6" x14ac:dyDescent="0.3">
      <c r="A50" s="104" t="s">
        <v>788</v>
      </c>
      <c r="B50" s="105">
        <v>8001</v>
      </c>
      <c r="C50" s="104" t="s">
        <v>789</v>
      </c>
      <c r="D50" s="104" t="s">
        <v>790</v>
      </c>
      <c r="E50">
        <v>49</v>
      </c>
      <c r="F50">
        <f t="shared" si="0"/>
        <v>8001</v>
      </c>
    </row>
    <row r="51" spans="1:6" x14ac:dyDescent="0.3">
      <c r="A51" s="104" t="s">
        <v>791</v>
      </c>
      <c r="B51" s="105">
        <v>8004</v>
      </c>
      <c r="C51" s="104" t="s">
        <v>792</v>
      </c>
      <c r="D51" s="104" t="s">
        <v>793</v>
      </c>
      <c r="E51">
        <v>50</v>
      </c>
      <c r="F51">
        <f t="shared" si="0"/>
        <v>8004</v>
      </c>
    </row>
    <row r="52" spans="1:6" x14ac:dyDescent="0.3">
      <c r="A52" s="104" t="s">
        <v>794</v>
      </c>
      <c r="B52" s="105">
        <v>9001</v>
      </c>
      <c r="C52" s="104" t="s">
        <v>693</v>
      </c>
      <c r="D52" s="104" t="s">
        <v>693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2D679-D693-4293-9873-049F8B5EF276}">
  <sheetPr codeName="Planilha12"/>
  <dimension ref="B1:BK41"/>
  <sheetViews>
    <sheetView showGridLines="0" zoomScale="85" zoomScaleNormal="85" workbookViewId="0">
      <selection activeCell="H20" sqref="H20:BJ20"/>
    </sheetView>
  </sheetViews>
  <sheetFormatPr defaultColWidth="2.6640625" defaultRowHeight="14.4" x14ac:dyDescent="0.3"/>
  <cols>
    <col min="6" max="7" width="3" customWidth="1"/>
  </cols>
  <sheetData>
    <row r="1" spans="2:63" ht="15" thickBot="1" x14ac:dyDescent="0.35"/>
    <row r="2" spans="2:63" x14ac:dyDescent="0.3">
      <c r="B2" s="194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6"/>
    </row>
    <row r="3" spans="2:63" ht="15.6" x14ac:dyDescent="0.3">
      <c r="B3" s="197"/>
      <c r="C3" s="856" t="s">
        <v>795</v>
      </c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T3" s="856"/>
      <c r="U3" s="856"/>
      <c r="V3" s="856"/>
      <c r="W3" s="856"/>
      <c r="X3" s="856"/>
      <c r="Y3" s="856"/>
      <c r="Z3" s="856"/>
      <c r="AA3" s="856"/>
      <c r="AB3" s="856"/>
      <c r="AC3" s="856"/>
      <c r="AD3" s="856"/>
      <c r="AE3" s="856"/>
      <c r="AF3" s="856"/>
      <c r="AG3" s="856"/>
      <c r="AH3" s="856"/>
      <c r="AI3" s="856"/>
      <c r="AJ3" s="856"/>
      <c r="AK3" s="856"/>
      <c r="AL3" s="856"/>
      <c r="AM3" s="856"/>
      <c r="AN3" s="856"/>
      <c r="AO3" s="856"/>
      <c r="AP3" s="856"/>
      <c r="AQ3" s="856"/>
      <c r="AR3" s="856"/>
      <c r="AS3" s="856"/>
      <c r="AT3" s="856"/>
      <c r="AU3" s="856"/>
      <c r="AV3" s="856"/>
      <c r="AW3" s="856"/>
      <c r="AX3" s="856"/>
      <c r="AY3" s="856"/>
      <c r="AZ3" s="856"/>
      <c r="BA3" s="856"/>
      <c r="BB3" s="856"/>
      <c r="BC3" s="856"/>
      <c r="BD3" s="856"/>
      <c r="BE3" s="856"/>
      <c r="BF3" s="856"/>
      <c r="BG3" s="856"/>
      <c r="BH3" s="856"/>
      <c r="BI3" s="856"/>
      <c r="BJ3" s="856"/>
      <c r="BK3" s="198"/>
    </row>
    <row r="4" spans="2:63" x14ac:dyDescent="0.3">
      <c r="B4" s="199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172"/>
    </row>
    <row r="5" spans="2:63" ht="15.6" x14ac:dyDescent="0.3">
      <c r="B5" s="197"/>
      <c r="C5" s="19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857" t="s">
        <v>796</v>
      </c>
      <c r="AB5" s="857"/>
      <c r="AC5" s="857"/>
      <c r="AD5" s="857"/>
      <c r="AE5" s="190" t="s">
        <v>797</v>
      </c>
      <c r="AF5" s="190">
        <f>1+1</f>
        <v>2</v>
      </c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1"/>
      <c r="BK5" s="200"/>
    </row>
    <row r="6" spans="2:63" ht="15.6" x14ac:dyDescent="0.3">
      <c r="B6" s="197"/>
      <c r="C6" s="193" t="s">
        <v>798</v>
      </c>
      <c r="D6" s="193"/>
      <c r="E6" s="193"/>
      <c r="F6" s="193"/>
      <c r="G6" s="193"/>
      <c r="H6" s="858">
        <v>999999</v>
      </c>
      <c r="I6" s="859"/>
      <c r="J6" s="859"/>
      <c r="K6" s="859"/>
      <c r="L6" s="859"/>
      <c r="M6" s="859"/>
      <c r="N6" s="859"/>
      <c r="O6" s="859"/>
      <c r="P6" s="859"/>
      <c r="Q6" s="860"/>
      <c r="R6" s="861" t="s">
        <v>799</v>
      </c>
      <c r="S6" s="861"/>
      <c r="T6" s="861"/>
      <c r="U6" s="861"/>
      <c r="V6" s="862"/>
      <c r="W6" s="863">
        <v>150</v>
      </c>
      <c r="X6" s="864"/>
      <c r="Y6" s="864"/>
      <c r="Z6" s="864"/>
      <c r="AA6" s="865" t="s">
        <v>800</v>
      </c>
      <c r="AB6" s="861"/>
      <c r="AC6" s="861"/>
      <c r="AD6" s="861"/>
      <c r="AE6" s="861"/>
      <c r="AF6" s="861"/>
      <c r="AG6" s="861"/>
      <c r="AH6" s="861"/>
      <c r="AI6" s="861"/>
      <c r="AJ6" s="861"/>
      <c r="AK6" s="861"/>
      <c r="AL6" s="861"/>
      <c r="AM6" s="861"/>
      <c r="AN6" s="861"/>
      <c r="AO6" s="862"/>
      <c r="AP6" s="866" t="s">
        <v>155</v>
      </c>
      <c r="AQ6" s="867"/>
      <c r="AR6" s="868"/>
      <c r="AS6" s="865" t="str">
        <f>IF(AP6="Sim","Informar potência da geração:","")</f>
        <v/>
      </c>
      <c r="AT6" s="861"/>
      <c r="AU6" s="861"/>
      <c r="AV6" s="861"/>
      <c r="AW6" s="861"/>
      <c r="AX6" s="861"/>
      <c r="AY6" s="861"/>
      <c r="AZ6" s="861"/>
      <c r="BA6" s="861"/>
      <c r="BB6" s="861"/>
      <c r="BC6" s="861"/>
      <c r="BD6" s="861"/>
      <c r="BE6" s="861"/>
      <c r="BF6" s="862"/>
      <c r="BG6" s="869"/>
      <c r="BH6" s="869"/>
      <c r="BI6" s="869"/>
      <c r="BJ6" s="869"/>
      <c r="BK6" s="200"/>
    </row>
    <row r="7" spans="2:63" ht="35.1" customHeight="1" x14ac:dyDescent="0.3">
      <c r="B7" s="197"/>
      <c r="C7" s="82" t="s">
        <v>801</v>
      </c>
      <c r="D7" s="82"/>
      <c r="E7" s="82"/>
      <c r="F7" s="82"/>
      <c r="G7" s="82"/>
      <c r="H7" s="870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71"/>
      <c r="AF7" s="871"/>
      <c r="AG7" s="871"/>
      <c r="AH7" s="871"/>
      <c r="AI7" s="871"/>
      <c r="AJ7" s="871"/>
      <c r="AK7" s="871"/>
      <c r="AL7" s="871"/>
      <c r="AM7" s="871"/>
      <c r="AN7" s="871"/>
      <c r="AO7" s="871"/>
      <c r="AP7" s="871"/>
      <c r="AQ7" s="871"/>
      <c r="AR7" s="871"/>
      <c r="AS7" s="871"/>
      <c r="AT7" s="871"/>
      <c r="AU7" s="871"/>
      <c r="AV7" s="871"/>
      <c r="AW7" s="871"/>
      <c r="AX7" s="871"/>
      <c r="AY7" s="871"/>
      <c r="AZ7" s="871"/>
      <c r="BA7" s="871"/>
      <c r="BB7" s="871"/>
      <c r="BC7" s="871"/>
      <c r="BD7" s="871"/>
      <c r="BE7" s="871"/>
      <c r="BF7" s="871"/>
      <c r="BG7" s="871"/>
      <c r="BH7" s="871"/>
      <c r="BI7" s="871"/>
      <c r="BJ7" s="872"/>
      <c r="BK7" s="200"/>
    </row>
    <row r="8" spans="2:63" ht="9" customHeight="1" x14ac:dyDescent="0.3"/>
    <row r="9" spans="2:63" ht="15.6" x14ac:dyDescent="0.3">
      <c r="B9" s="197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00"/>
    </row>
    <row r="10" spans="2:63" ht="15.6" x14ac:dyDescent="0.3">
      <c r="B10" s="197"/>
      <c r="C10" s="192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857" t="s">
        <v>796</v>
      </c>
      <c r="AB10" s="857"/>
      <c r="AC10" s="857"/>
      <c r="AD10" s="857"/>
      <c r="AE10" s="190" t="s">
        <v>797</v>
      </c>
      <c r="AF10" s="190">
        <f>1+AF5</f>
        <v>3</v>
      </c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1"/>
      <c r="BK10" s="200"/>
    </row>
    <row r="11" spans="2:63" ht="15.6" x14ac:dyDescent="0.3">
      <c r="B11" s="197"/>
      <c r="C11" s="193" t="s">
        <v>798</v>
      </c>
      <c r="D11" s="193"/>
      <c r="E11" s="193"/>
      <c r="F11" s="193"/>
      <c r="G11" s="193"/>
      <c r="H11" s="858">
        <v>6666666</v>
      </c>
      <c r="I11" s="859"/>
      <c r="J11" s="859"/>
      <c r="K11" s="859"/>
      <c r="L11" s="859"/>
      <c r="M11" s="859"/>
      <c r="N11" s="859"/>
      <c r="O11" s="859"/>
      <c r="P11" s="859"/>
      <c r="Q11" s="860"/>
      <c r="R11" s="861" t="s">
        <v>799</v>
      </c>
      <c r="S11" s="861"/>
      <c r="T11" s="861"/>
      <c r="U11" s="861"/>
      <c r="V11" s="862"/>
      <c r="W11" s="863">
        <v>250</v>
      </c>
      <c r="X11" s="864"/>
      <c r="Y11" s="864"/>
      <c r="Z11" s="864"/>
      <c r="AA11" s="865" t="s">
        <v>800</v>
      </c>
      <c r="AB11" s="861"/>
      <c r="AC11" s="861"/>
      <c r="AD11" s="861"/>
      <c r="AE11" s="861"/>
      <c r="AF11" s="861"/>
      <c r="AG11" s="861"/>
      <c r="AH11" s="861"/>
      <c r="AI11" s="861"/>
      <c r="AJ11" s="861"/>
      <c r="AK11" s="861"/>
      <c r="AL11" s="861"/>
      <c r="AM11" s="861"/>
      <c r="AN11" s="861"/>
      <c r="AO11" s="862"/>
      <c r="AP11" s="866" t="s">
        <v>155</v>
      </c>
      <c r="AQ11" s="867"/>
      <c r="AR11" s="868"/>
      <c r="AS11" s="865" t="str">
        <f>IF(AP11="Sim","Informar potência da geração:","")</f>
        <v/>
      </c>
      <c r="AT11" s="861"/>
      <c r="AU11" s="861"/>
      <c r="AV11" s="861"/>
      <c r="AW11" s="861"/>
      <c r="AX11" s="861"/>
      <c r="AY11" s="861"/>
      <c r="AZ11" s="861"/>
      <c r="BA11" s="861"/>
      <c r="BB11" s="861"/>
      <c r="BC11" s="861"/>
      <c r="BD11" s="861"/>
      <c r="BE11" s="861"/>
      <c r="BF11" s="862"/>
      <c r="BG11" s="869"/>
      <c r="BH11" s="869"/>
      <c r="BI11" s="869"/>
      <c r="BJ11" s="869"/>
      <c r="BK11" s="200"/>
    </row>
    <row r="12" spans="2:63" ht="35.1" customHeight="1" x14ac:dyDescent="0.3">
      <c r="B12" s="197"/>
      <c r="C12" s="82" t="s">
        <v>801</v>
      </c>
      <c r="D12" s="82"/>
      <c r="E12" s="82"/>
      <c r="F12" s="82"/>
      <c r="G12" s="82"/>
      <c r="H12" s="870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B12" s="871"/>
      <c r="AC12" s="871"/>
      <c r="AD12" s="871"/>
      <c r="AE12" s="871"/>
      <c r="AF12" s="871"/>
      <c r="AG12" s="871"/>
      <c r="AH12" s="871"/>
      <c r="AI12" s="871"/>
      <c r="AJ12" s="871"/>
      <c r="AK12" s="871"/>
      <c r="AL12" s="871"/>
      <c r="AM12" s="871"/>
      <c r="AN12" s="871"/>
      <c r="AO12" s="871"/>
      <c r="AP12" s="871"/>
      <c r="AQ12" s="871"/>
      <c r="AR12" s="871"/>
      <c r="AS12" s="871"/>
      <c r="AT12" s="871"/>
      <c r="AU12" s="871"/>
      <c r="AV12" s="871"/>
      <c r="AW12" s="871"/>
      <c r="AX12" s="871"/>
      <c r="AY12" s="871"/>
      <c r="AZ12" s="871"/>
      <c r="BA12" s="871"/>
      <c r="BB12" s="871"/>
      <c r="BC12" s="871"/>
      <c r="BD12" s="871"/>
      <c r="BE12" s="871"/>
      <c r="BF12" s="871"/>
      <c r="BG12" s="871"/>
      <c r="BH12" s="871"/>
      <c r="BI12" s="871"/>
      <c r="BJ12" s="872"/>
      <c r="BK12" s="200"/>
    </row>
    <row r="13" spans="2:63" x14ac:dyDescent="0.3">
      <c r="B13" s="199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172"/>
    </row>
    <row r="14" spans="2:63" ht="15.6" x14ac:dyDescent="0.3">
      <c r="B14" s="197"/>
      <c r="C14" s="192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857" t="s">
        <v>796</v>
      </c>
      <c r="AB14" s="857"/>
      <c r="AC14" s="857"/>
      <c r="AD14" s="857"/>
      <c r="AE14" s="190" t="s">
        <v>797</v>
      </c>
      <c r="AF14" s="190">
        <f>1+AF10</f>
        <v>4</v>
      </c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1"/>
      <c r="BK14" s="200"/>
    </row>
    <row r="15" spans="2:63" ht="15.6" x14ac:dyDescent="0.3">
      <c r="B15" s="197"/>
      <c r="C15" s="193" t="s">
        <v>798</v>
      </c>
      <c r="D15" s="193"/>
      <c r="E15" s="193"/>
      <c r="F15" s="193"/>
      <c r="G15" s="193"/>
      <c r="H15" s="858"/>
      <c r="I15" s="859"/>
      <c r="J15" s="859"/>
      <c r="K15" s="859"/>
      <c r="L15" s="859"/>
      <c r="M15" s="859"/>
      <c r="N15" s="859"/>
      <c r="O15" s="859"/>
      <c r="P15" s="859"/>
      <c r="Q15" s="860"/>
      <c r="R15" s="861" t="s">
        <v>799</v>
      </c>
      <c r="S15" s="861"/>
      <c r="T15" s="861"/>
      <c r="U15" s="861"/>
      <c r="V15" s="862"/>
      <c r="W15" s="863"/>
      <c r="X15" s="864"/>
      <c r="Y15" s="864"/>
      <c r="Z15" s="864"/>
      <c r="AA15" s="865" t="s">
        <v>800</v>
      </c>
      <c r="AB15" s="861"/>
      <c r="AC15" s="861"/>
      <c r="AD15" s="861"/>
      <c r="AE15" s="861"/>
      <c r="AF15" s="861"/>
      <c r="AG15" s="861"/>
      <c r="AH15" s="861"/>
      <c r="AI15" s="861"/>
      <c r="AJ15" s="861"/>
      <c r="AK15" s="861"/>
      <c r="AL15" s="861"/>
      <c r="AM15" s="861"/>
      <c r="AN15" s="861"/>
      <c r="AO15" s="862"/>
      <c r="AP15" s="866"/>
      <c r="AQ15" s="867"/>
      <c r="AR15" s="868"/>
      <c r="AS15" s="865" t="str">
        <f>IF(AP15="Sim","Informar potência da geração:","")</f>
        <v/>
      </c>
      <c r="AT15" s="861"/>
      <c r="AU15" s="861"/>
      <c r="AV15" s="861"/>
      <c r="AW15" s="861"/>
      <c r="AX15" s="861"/>
      <c r="AY15" s="861"/>
      <c r="AZ15" s="861"/>
      <c r="BA15" s="861"/>
      <c r="BB15" s="861"/>
      <c r="BC15" s="861"/>
      <c r="BD15" s="861"/>
      <c r="BE15" s="861"/>
      <c r="BF15" s="862"/>
      <c r="BG15" s="869"/>
      <c r="BH15" s="869"/>
      <c r="BI15" s="869"/>
      <c r="BJ15" s="869"/>
      <c r="BK15" s="200"/>
    </row>
    <row r="16" spans="2:63" ht="35.1" customHeight="1" x14ac:dyDescent="0.3">
      <c r="B16" s="197"/>
      <c r="C16" s="82" t="s">
        <v>801</v>
      </c>
      <c r="D16" s="82"/>
      <c r="E16" s="82"/>
      <c r="F16" s="82"/>
      <c r="G16" s="82"/>
      <c r="H16" s="870"/>
      <c r="I16" s="871"/>
      <c r="J16" s="871"/>
      <c r="K16" s="871"/>
      <c r="L16" s="871"/>
      <c r="M16" s="871"/>
      <c r="N16" s="871"/>
      <c r="O16" s="871"/>
      <c r="P16" s="871"/>
      <c r="Q16" s="871"/>
      <c r="R16" s="871"/>
      <c r="S16" s="871"/>
      <c r="T16" s="871"/>
      <c r="U16" s="871"/>
      <c r="V16" s="871"/>
      <c r="W16" s="871"/>
      <c r="X16" s="871"/>
      <c r="Y16" s="871"/>
      <c r="Z16" s="871"/>
      <c r="AA16" s="871"/>
      <c r="AB16" s="871"/>
      <c r="AC16" s="871"/>
      <c r="AD16" s="871"/>
      <c r="AE16" s="871"/>
      <c r="AF16" s="871"/>
      <c r="AG16" s="871"/>
      <c r="AH16" s="871"/>
      <c r="AI16" s="871"/>
      <c r="AJ16" s="871"/>
      <c r="AK16" s="871"/>
      <c r="AL16" s="871"/>
      <c r="AM16" s="871"/>
      <c r="AN16" s="871"/>
      <c r="AO16" s="871"/>
      <c r="AP16" s="871"/>
      <c r="AQ16" s="871"/>
      <c r="AR16" s="871"/>
      <c r="AS16" s="871"/>
      <c r="AT16" s="871"/>
      <c r="AU16" s="871"/>
      <c r="AV16" s="871"/>
      <c r="AW16" s="871"/>
      <c r="AX16" s="871"/>
      <c r="AY16" s="871"/>
      <c r="AZ16" s="871"/>
      <c r="BA16" s="871"/>
      <c r="BB16" s="871"/>
      <c r="BC16" s="871"/>
      <c r="BD16" s="871"/>
      <c r="BE16" s="871"/>
      <c r="BF16" s="871"/>
      <c r="BG16" s="871"/>
      <c r="BH16" s="871"/>
      <c r="BI16" s="871"/>
      <c r="BJ16" s="872"/>
      <c r="BK16" s="200"/>
    </row>
    <row r="17" spans="2:63" x14ac:dyDescent="0.3">
      <c r="B17" s="199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172"/>
    </row>
    <row r="18" spans="2:63" ht="15.6" x14ac:dyDescent="0.3">
      <c r="B18" s="197"/>
      <c r="C18" s="192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857" t="s">
        <v>796</v>
      </c>
      <c r="AB18" s="857"/>
      <c r="AC18" s="857"/>
      <c r="AD18" s="857"/>
      <c r="AE18" s="190" t="s">
        <v>797</v>
      </c>
      <c r="AF18" s="190">
        <f>1+AF14</f>
        <v>5</v>
      </c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1"/>
      <c r="BK18" s="200"/>
    </row>
    <row r="19" spans="2:63" ht="15.6" x14ac:dyDescent="0.3">
      <c r="B19" s="197"/>
      <c r="C19" s="193" t="s">
        <v>798</v>
      </c>
      <c r="D19" s="193"/>
      <c r="E19" s="193"/>
      <c r="F19" s="193"/>
      <c r="G19" s="193"/>
      <c r="H19" s="858"/>
      <c r="I19" s="859"/>
      <c r="J19" s="859"/>
      <c r="K19" s="859"/>
      <c r="L19" s="859"/>
      <c r="M19" s="859"/>
      <c r="N19" s="859"/>
      <c r="O19" s="859"/>
      <c r="P19" s="859"/>
      <c r="Q19" s="860"/>
      <c r="R19" s="861" t="s">
        <v>799</v>
      </c>
      <c r="S19" s="861"/>
      <c r="T19" s="861"/>
      <c r="U19" s="861"/>
      <c r="V19" s="862"/>
      <c r="W19" s="863"/>
      <c r="X19" s="864"/>
      <c r="Y19" s="864"/>
      <c r="Z19" s="864"/>
      <c r="AA19" s="865" t="s">
        <v>800</v>
      </c>
      <c r="AB19" s="861"/>
      <c r="AC19" s="861"/>
      <c r="AD19" s="861"/>
      <c r="AE19" s="861"/>
      <c r="AF19" s="861"/>
      <c r="AG19" s="861"/>
      <c r="AH19" s="861"/>
      <c r="AI19" s="861"/>
      <c r="AJ19" s="861"/>
      <c r="AK19" s="861"/>
      <c r="AL19" s="861"/>
      <c r="AM19" s="861"/>
      <c r="AN19" s="861"/>
      <c r="AO19" s="862"/>
      <c r="AP19" s="866"/>
      <c r="AQ19" s="867"/>
      <c r="AR19" s="868"/>
      <c r="AS19" s="865" t="str">
        <f>IF(AP19="Sim","Informar potência da geração:","")</f>
        <v/>
      </c>
      <c r="AT19" s="861"/>
      <c r="AU19" s="861"/>
      <c r="AV19" s="861"/>
      <c r="AW19" s="861"/>
      <c r="AX19" s="861"/>
      <c r="AY19" s="861"/>
      <c r="AZ19" s="861"/>
      <c r="BA19" s="861"/>
      <c r="BB19" s="861"/>
      <c r="BC19" s="861"/>
      <c r="BD19" s="861"/>
      <c r="BE19" s="861"/>
      <c r="BF19" s="862"/>
      <c r="BG19" s="869"/>
      <c r="BH19" s="869"/>
      <c r="BI19" s="869"/>
      <c r="BJ19" s="869"/>
      <c r="BK19" s="200"/>
    </row>
    <row r="20" spans="2:63" ht="35.1" customHeight="1" x14ac:dyDescent="0.3">
      <c r="B20" s="197"/>
      <c r="C20" s="82" t="s">
        <v>801</v>
      </c>
      <c r="D20" s="82"/>
      <c r="E20" s="82"/>
      <c r="F20" s="82"/>
      <c r="G20" s="82"/>
      <c r="H20" s="870"/>
      <c r="I20" s="871"/>
      <c r="J20" s="871"/>
      <c r="K20" s="871"/>
      <c r="L20" s="871"/>
      <c r="M20" s="871"/>
      <c r="N20" s="871"/>
      <c r="O20" s="871"/>
      <c r="P20" s="871"/>
      <c r="Q20" s="871"/>
      <c r="R20" s="871"/>
      <c r="S20" s="871"/>
      <c r="T20" s="871"/>
      <c r="U20" s="871"/>
      <c r="V20" s="871"/>
      <c r="W20" s="871"/>
      <c r="X20" s="871"/>
      <c r="Y20" s="871"/>
      <c r="Z20" s="871"/>
      <c r="AA20" s="871"/>
      <c r="AB20" s="871"/>
      <c r="AC20" s="871"/>
      <c r="AD20" s="871"/>
      <c r="AE20" s="871"/>
      <c r="AF20" s="871"/>
      <c r="AG20" s="871"/>
      <c r="AH20" s="871"/>
      <c r="AI20" s="871"/>
      <c r="AJ20" s="871"/>
      <c r="AK20" s="871"/>
      <c r="AL20" s="871"/>
      <c r="AM20" s="871"/>
      <c r="AN20" s="871"/>
      <c r="AO20" s="871"/>
      <c r="AP20" s="871"/>
      <c r="AQ20" s="871"/>
      <c r="AR20" s="871"/>
      <c r="AS20" s="871"/>
      <c r="AT20" s="871"/>
      <c r="AU20" s="871"/>
      <c r="AV20" s="871"/>
      <c r="AW20" s="871"/>
      <c r="AX20" s="871"/>
      <c r="AY20" s="871"/>
      <c r="AZ20" s="871"/>
      <c r="BA20" s="871"/>
      <c r="BB20" s="871"/>
      <c r="BC20" s="871"/>
      <c r="BD20" s="871"/>
      <c r="BE20" s="871"/>
      <c r="BF20" s="871"/>
      <c r="BG20" s="871"/>
      <c r="BH20" s="871"/>
      <c r="BI20" s="871"/>
      <c r="BJ20" s="872"/>
      <c r="BK20" s="200"/>
    </row>
    <row r="21" spans="2:63" x14ac:dyDescent="0.3">
      <c r="B21" s="199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172"/>
    </row>
    <row r="22" spans="2:63" ht="15.6" x14ac:dyDescent="0.3">
      <c r="B22" s="197"/>
      <c r="C22" s="192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857" t="s">
        <v>796</v>
      </c>
      <c r="AB22" s="857"/>
      <c r="AC22" s="857"/>
      <c r="AD22" s="857"/>
      <c r="AE22" s="190" t="s">
        <v>797</v>
      </c>
      <c r="AF22" s="190">
        <f>1+AF18</f>
        <v>6</v>
      </c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1"/>
      <c r="BK22" s="200"/>
    </row>
    <row r="23" spans="2:63" ht="15.6" x14ac:dyDescent="0.3">
      <c r="B23" s="197"/>
      <c r="C23" s="193" t="s">
        <v>798</v>
      </c>
      <c r="D23" s="193"/>
      <c r="E23" s="193"/>
      <c r="F23" s="193"/>
      <c r="G23" s="193"/>
      <c r="H23" s="858"/>
      <c r="I23" s="859"/>
      <c r="J23" s="859"/>
      <c r="K23" s="859"/>
      <c r="L23" s="859"/>
      <c r="M23" s="859"/>
      <c r="N23" s="859"/>
      <c r="O23" s="859"/>
      <c r="P23" s="859"/>
      <c r="Q23" s="860"/>
      <c r="R23" s="861" t="s">
        <v>799</v>
      </c>
      <c r="S23" s="861"/>
      <c r="T23" s="861"/>
      <c r="U23" s="861"/>
      <c r="V23" s="862"/>
      <c r="W23" s="863"/>
      <c r="X23" s="864"/>
      <c r="Y23" s="864"/>
      <c r="Z23" s="864"/>
      <c r="AA23" s="865" t="s">
        <v>800</v>
      </c>
      <c r="AB23" s="861"/>
      <c r="AC23" s="861"/>
      <c r="AD23" s="861"/>
      <c r="AE23" s="861"/>
      <c r="AF23" s="861"/>
      <c r="AG23" s="861"/>
      <c r="AH23" s="861"/>
      <c r="AI23" s="861"/>
      <c r="AJ23" s="861"/>
      <c r="AK23" s="861"/>
      <c r="AL23" s="861"/>
      <c r="AM23" s="861"/>
      <c r="AN23" s="861"/>
      <c r="AO23" s="862"/>
      <c r="AP23" s="866"/>
      <c r="AQ23" s="867"/>
      <c r="AR23" s="868"/>
      <c r="AS23" s="865" t="str">
        <f>IF(AP23="Sim","Informar potência da geração:","")</f>
        <v/>
      </c>
      <c r="AT23" s="861"/>
      <c r="AU23" s="861"/>
      <c r="AV23" s="861"/>
      <c r="AW23" s="861"/>
      <c r="AX23" s="861"/>
      <c r="AY23" s="861"/>
      <c r="AZ23" s="861"/>
      <c r="BA23" s="861"/>
      <c r="BB23" s="861"/>
      <c r="BC23" s="861"/>
      <c r="BD23" s="861"/>
      <c r="BE23" s="861"/>
      <c r="BF23" s="862"/>
      <c r="BG23" s="869"/>
      <c r="BH23" s="869"/>
      <c r="BI23" s="869"/>
      <c r="BJ23" s="869"/>
      <c r="BK23" s="200"/>
    </row>
    <row r="24" spans="2:63" ht="35.1" customHeight="1" x14ac:dyDescent="0.3">
      <c r="B24" s="197"/>
      <c r="C24" s="82" t="s">
        <v>801</v>
      </c>
      <c r="D24" s="82"/>
      <c r="E24" s="82"/>
      <c r="F24" s="82"/>
      <c r="G24" s="82"/>
      <c r="H24" s="870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B24" s="871"/>
      <c r="AC24" s="871"/>
      <c r="AD24" s="871"/>
      <c r="AE24" s="871"/>
      <c r="AF24" s="871"/>
      <c r="AG24" s="871"/>
      <c r="AH24" s="871"/>
      <c r="AI24" s="871"/>
      <c r="AJ24" s="871"/>
      <c r="AK24" s="871"/>
      <c r="AL24" s="871"/>
      <c r="AM24" s="871"/>
      <c r="AN24" s="871"/>
      <c r="AO24" s="871"/>
      <c r="AP24" s="871"/>
      <c r="AQ24" s="871"/>
      <c r="AR24" s="871"/>
      <c r="AS24" s="871"/>
      <c r="AT24" s="871"/>
      <c r="AU24" s="871"/>
      <c r="AV24" s="871"/>
      <c r="AW24" s="871"/>
      <c r="AX24" s="871"/>
      <c r="AY24" s="871"/>
      <c r="AZ24" s="871"/>
      <c r="BA24" s="871"/>
      <c r="BB24" s="871"/>
      <c r="BC24" s="871"/>
      <c r="BD24" s="871"/>
      <c r="BE24" s="871"/>
      <c r="BF24" s="871"/>
      <c r="BG24" s="871"/>
      <c r="BH24" s="871"/>
      <c r="BI24" s="871"/>
      <c r="BJ24" s="872"/>
      <c r="BK24" s="200"/>
    </row>
    <row r="25" spans="2:63" x14ac:dyDescent="0.3">
      <c r="B25" s="199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172"/>
    </row>
    <row r="26" spans="2:63" ht="15.6" x14ac:dyDescent="0.3">
      <c r="B26" s="197"/>
      <c r="C26" s="192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857" t="s">
        <v>796</v>
      </c>
      <c r="AB26" s="857"/>
      <c r="AC26" s="857"/>
      <c r="AD26" s="857"/>
      <c r="AE26" s="190" t="s">
        <v>797</v>
      </c>
      <c r="AF26" s="190">
        <f>1+AF22</f>
        <v>7</v>
      </c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1"/>
      <c r="BK26" s="200"/>
    </row>
    <row r="27" spans="2:63" ht="15.6" x14ac:dyDescent="0.3">
      <c r="B27" s="197"/>
      <c r="C27" s="193" t="s">
        <v>798</v>
      </c>
      <c r="D27" s="193"/>
      <c r="E27" s="193"/>
      <c r="F27" s="193"/>
      <c r="G27" s="193"/>
      <c r="H27" s="858"/>
      <c r="I27" s="859"/>
      <c r="J27" s="859"/>
      <c r="K27" s="859"/>
      <c r="L27" s="859"/>
      <c r="M27" s="859"/>
      <c r="N27" s="859"/>
      <c r="O27" s="859"/>
      <c r="P27" s="859"/>
      <c r="Q27" s="860"/>
      <c r="R27" s="861" t="s">
        <v>799</v>
      </c>
      <c r="S27" s="861"/>
      <c r="T27" s="861"/>
      <c r="U27" s="861"/>
      <c r="V27" s="862"/>
      <c r="W27" s="863"/>
      <c r="X27" s="864"/>
      <c r="Y27" s="864"/>
      <c r="Z27" s="864"/>
      <c r="AA27" s="865" t="s">
        <v>800</v>
      </c>
      <c r="AB27" s="861"/>
      <c r="AC27" s="861"/>
      <c r="AD27" s="861"/>
      <c r="AE27" s="861"/>
      <c r="AF27" s="861"/>
      <c r="AG27" s="861"/>
      <c r="AH27" s="861"/>
      <c r="AI27" s="861"/>
      <c r="AJ27" s="861"/>
      <c r="AK27" s="861"/>
      <c r="AL27" s="861"/>
      <c r="AM27" s="861"/>
      <c r="AN27" s="861"/>
      <c r="AO27" s="862"/>
      <c r="AP27" s="866"/>
      <c r="AQ27" s="867"/>
      <c r="AR27" s="868"/>
      <c r="AS27" s="865" t="str">
        <f>IF(AP27="Sim","Informar potência da geração:","")</f>
        <v/>
      </c>
      <c r="AT27" s="861"/>
      <c r="AU27" s="861"/>
      <c r="AV27" s="861"/>
      <c r="AW27" s="861"/>
      <c r="AX27" s="861"/>
      <c r="AY27" s="861"/>
      <c r="AZ27" s="861"/>
      <c r="BA27" s="861"/>
      <c r="BB27" s="861"/>
      <c r="BC27" s="861"/>
      <c r="BD27" s="861"/>
      <c r="BE27" s="861"/>
      <c r="BF27" s="862"/>
      <c r="BG27" s="869"/>
      <c r="BH27" s="869"/>
      <c r="BI27" s="869"/>
      <c r="BJ27" s="869"/>
      <c r="BK27" s="200"/>
    </row>
    <row r="28" spans="2:63" ht="35.1" customHeight="1" x14ac:dyDescent="0.3">
      <c r="B28" s="197"/>
      <c r="C28" s="82" t="s">
        <v>801</v>
      </c>
      <c r="D28" s="82"/>
      <c r="E28" s="82"/>
      <c r="F28" s="82"/>
      <c r="G28" s="82"/>
      <c r="H28" s="870"/>
      <c r="I28" s="871"/>
      <c r="J28" s="871"/>
      <c r="K28" s="871"/>
      <c r="L28" s="871"/>
      <c r="M28" s="871"/>
      <c r="N28" s="871"/>
      <c r="O28" s="871"/>
      <c r="P28" s="871"/>
      <c r="Q28" s="871"/>
      <c r="R28" s="871"/>
      <c r="S28" s="871"/>
      <c r="T28" s="871"/>
      <c r="U28" s="871"/>
      <c r="V28" s="871"/>
      <c r="W28" s="871"/>
      <c r="X28" s="871"/>
      <c r="Y28" s="871"/>
      <c r="Z28" s="871"/>
      <c r="AA28" s="871"/>
      <c r="AB28" s="871"/>
      <c r="AC28" s="871"/>
      <c r="AD28" s="871"/>
      <c r="AE28" s="871"/>
      <c r="AF28" s="871"/>
      <c r="AG28" s="871"/>
      <c r="AH28" s="871"/>
      <c r="AI28" s="871"/>
      <c r="AJ28" s="871"/>
      <c r="AK28" s="871"/>
      <c r="AL28" s="871"/>
      <c r="AM28" s="871"/>
      <c r="AN28" s="871"/>
      <c r="AO28" s="871"/>
      <c r="AP28" s="871"/>
      <c r="AQ28" s="871"/>
      <c r="AR28" s="871"/>
      <c r="AS28" s="871"/>
      <c r="AT28" s="871"/>
      <c r="AU28" s="871"/>
      <c r="AV28" s="871"/>
      <c r="AW28" s="871"/>
      <c r="AX28" s="871"/>
      <c r="AY28" s="871"/>
      <c r="AZ28" s="871"/>
      <c r="BA28" s="871"/>
      <c r="BB28" s="871"/>
      <c r="BC28" s="871"/>
      <c r="BD28" s="871"/>
      <c r="BE28" s="871"/>
      <c r="BF28" s="871"/>
      <c r="BG28" s="871"/>
      <c r="BH28" s="871"/>
      <c r="BI28" s="871"/>
      <c r="BJ28" s="872"/>
      <c r="BK28" s="200"/>
    </row>
    <row r="29" spans="2:63" x14ac:dyDescent="0.3">
      <c r="B29" s="199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172"/>
    </row>
    <row r="30" spans="2:63" ht="15.6" x14ac:dyDescent="0.3">
      <c r="B30" s="197"/>
      <c r="C30" s="192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857" t="s">
        <v>796</v>
      </c>
      <c r="AB30" s="857"/>
      <c r="AC30" s="857"/>
      <c r="AD30" s="857"/>
      <c r="AE30" s="190" t="s">
        <v>797</v>
      </c>
      <c r="AF30" s="190">
        <f>1+AF26</f>
        <v>8</v>
      </c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1"/>
      <c r="BK30" s="200"/>
    </row>
    <row r="31" spans="2:63" ht="15.6" x14ac:dyDescent="0.3">
      <c r="B31" s="197"/>
      <c r="C31" s="193" t="s">
        <v>798</v>
      </c>
      <c r="D31" s="193"/>
      <c r="E31" s="193"/>
      <c r="F31" s="193"/>
      <c r="G31" s="193"/>
      <c r="H31" s="858"/>
      <c r="I31" s="859"/>
      <c r="J31" s="859"/>
      <c r="K31" s="859"/>
      <c r="L31" s="859"/>
      <c r="M31" s="859"/>
      <c r="N31" s="859"/>
      <c r="O31" s="859"/>
      <c r="P31" s="859"/>
      <c r="Q31" s="860"/>
      <c r="R31" s="861" t="s">
        <v>799</v>
      </c>
      <c r="S31" s="861"/>
      <c r="T31" s="861"/>
      <c r="U31" s="861"/>
      <c r="V31" s="862"/>
      <c r="W31" s="863"/>
      <c r="X31" s="864"/>
      <c r="Y31" s="864"/>
      <c r="Z31" s="864"/>
      <c r="AA31" s="865" t="s">
        <v>800</v>
      </c>
      <c r="AB31" s="861"/>
      <c r="AC31" s="861"/>
      <c r="AD31" s="861"/>
      <c r="AE31" s="861"/>
      <c r="AF31" s="861"/>
      <c r="AG31" s="861"/>
      <c r="AH31" s="861"/>
      <c r="AI31" s="861"/>
      <c r="AJ31" s="861"/>
      <c r="AK31" s="861"/>
      <c r="AL31" s="861"/>
      <c r="AM31" s="861"/>
      <c r="AN31" s="861"/>
      <c r="AO31" s="862"/>
      <c r="AP31" s="866"/>
      <c r="AQ31" s="867"/>
      <c r="AR31" s="868"/>
      <c r="AS31" s="865" t="str">
        <f>IF(AP31="Sim","Informar potência da geração:","")</f>
        <v/>
      </c>
      <c r="AT31" s="861"/>
      <c r="AU31" s="861"/>
      <c r="AV31" s="861"/>
      <c r="AW31" s="861"/>
      <c r="AX31" s="861"/>
      <c r="AY31" s="861"/>
      <c r="AZ31" s="861"/>
      <c r="BA31" s="861"/>
      <c r="BB31" s="861"/>
      <c r="BC31" s="861"/>
      <c r="BD31" s="861"/>
      <c r="BE31" s="861"/>
      <c r="BF31" s="862"/>
      <c r="BG31" s="869"/>
      <c r="BH31" s="869"/>
      <c r="BI31" s="869"/>
      <c r="BJ31" s="869"/>
      <c r="BK31" s="200"/>
    </row>
    <row r="32" spans="2:63" ht="35.1" customHeight="1" x14ac:dyDescent="0.3">
      <c r="B32" s="197"/>
      <c r="C32" s="82" t="s">
        <v>801</v>
      </c>
      <c r="D32" s="82"/>
      <c r="E32" s="82"/>
      <c r="F32" s="82"/>
      <c r="G32" s="82"/>
      <c r="H32" s="870"/>
      <c r="I32" s="871"/>
      <c r="J32" s="871"/>
      <c r="K32" s="871"/>
      <c r="L32" s="871"/>
      <c r="M32" s="871"/>
      <c r="N32" s="871"/>
      <c r="O32" s="871"/>
      <c r="P32" s="871"/>
      <c r="Q32" s="871"/>
      <c r="R32" s="871"/>
      <c r="S32" s="871"/>
      <c r="T32" s="871"/>
      <c r="U32" s="871"/>
      <c r="V32" s="871"/>
      <c r="W32" s="871"/>
      <c r="X32" s="871"/>
      <c r="Y32" s="871"/>
      <c r="Z32" s="871"/>
      <c r="AA32" s="871"/>
      <c r="AB32" s="871"/>
      <c r="AC32" s="871"/>
      <c r="AD32" s="871"/>
      <c r="AE32" s="871"/>
      <c r="AF32" s="871"/>
      <c r="AG32" s="871"/>
      <c r="AH32" s="871"/>
      <c r="AI32" s="871"/>
      <c r="AJ32" s="871"/>
      <c r="AK32" s="871"/>
      <c r="AL32" s="871"/>
      <c r="AM32" s="871"/>
      <c r="AN32" s="871"/>
      <c r="AO32" s="871"/>
      <c r="AP32" s="871"/>
      <c r="AQ32" s="871"/>
      <c r="AR32" s="871"/>
      <c r="AS32" s="871"/>
      <c r="AT32" s="871"/>
      <c r="AU32" s="871"/>
      <c r="AV32" s="871"/>
      <c r="AW32" s="871"/>
      <c r="AX32" s="871"/>
      <c r="AY32" s="871"/>
      <c r="AZ32" s="871"/>
      <c r="BA32" s="871"/>
      <c r="BB32" s="871"/>
      <c r="BC32" s="871"/>
      <c r="BD32" s="871"/>
      <c r="BE32" s="871"/>
      <c r="BF32" s="871"/>
      <c r="BG32" s="871"/>
      <c r="BH32" s="871"/>
      <c r="BI32" s="871"/>
      <c r="BJ32" s="872"/>
      <c r="BK32" s="200"/>
    </row>
    <row r="33" spans="2:63" x14ac:dyDescent="0.3">
      <c r="B33" s="199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172"/>
    </row>
    <row r="34" spans="2:63" ht="15.6" x14ac:dyDescent="0.3">
      <c r="B34" s="197"/>
      <c r="C34" s="192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857" t="s">
        <v>796</v>
      </c>
      <c r="AB34" s="857"/>
      <c r="AC34" s="857"/>
      <c r="AD34" s="857"/>
      <c r="AE34" s="190" t="s">
        <v>797</v>
      </c>
      <c r="AF34" s="190">
        <f>1+AF30</f>
        <v>9</v>
      </c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1"/>
      <c r="BK34" s="200"/>
    </row>
    <row r="35" spans="2:63" ht="15.6" x14ac:dyDescent="0.3">
      <c r="B35" s="197"/>
      <c r="C35" s="193" t="s">
        <v>798</v>
      </c>
      <c r="D35" s="193"/>
      <c r="E35" s="193"/>
      <c r="F35" s="193"/>
      <c r="G35" s="193"/>
      <c r="H35" s="858"/>
      <c r="I35" s="859"/>
      <c r="J35" s="859"/>
      <c r="K35" s="859"/>
      <c r="L35" s="859"/>
      <c r="M35" s="859"/>
      <c r="N35" s="859"/>
      <c r="O35" s="859"/>
      <c r="P35" s="859"/>
      <c r="Q35" s="860"/>
      <c r="R35" s="861" t="s">
        <v>799</v>
      </c>
      <c r="S35" s="861"/>
      <c r="T35" s="861"/>
      <c r="U35" s="861"/>
      <c r="V35" s="862"/>
      <c r="W35" s="863"/>
      <c r="X35" s="864"/>
      <c r="Y35" s="864"/>
      <c r="Z35" s="864"/>
      <c r="AA35" s="865" t="s">
        <v>800</v>
      </c>
      <c r="AB35" s="861"/>
      <c r="AC35" s="861"/>
      <c r="AD35" s="861"/>
      <c r="AE35" s="861"/>
      <c r="AF35" s="861"/>
      <c r="AG35" s="861"/>
      <c r="AH35" s="861"/>
      <c r="AI35" s="861"/>
      <c r="AJ35" s="861"/>
      <c r="AK35" s="861"/>
      <c r="AL35" s="861"/>
      <c r="AM35" s="861"/>
      <c r="AN35" s="861"/>
      <c r="AO35" s="862"/>
      <c r="AP35" s="866"/>
      <c r="AQ35" s="867"/>
      <c r="AR35" s="868"/>
      <c r="AS35" s="865" t="str">
        <f>IF(AP35="Sim","Informar potência da geração:","")</f>
        <v/>
      </c>
      <c r="AT35" s="861"/>
      <c r="AU35" s="861"/>
      <c r="AV35" s="861"/>
      <c r="AW35" s="861"/>
      <c r="AX35" s="861"/>
      <c r="AY35" s="861"/>
      <c r="AZ35" s="861"/>
      <c r="BA35" s="861"/>
      <c r="BB35" s="861"/>
      <c r="BC35" s="861"/>
      <c r="BD35" s="861"/>
      <c r="BE35" s="861"/>
      <c r="BF35" s="862"/>
      <c r="BG35" s="869"/>
      <c r="BH35" s="869"/>
      <c r="BI35" s="869"/>
      <c r="BJ35" s="869"/>
      <c r="BK35" s="200"/>
    </row>
    <row r="36" spans="2:63" ht="35.1" customHeight="1" x14ac:dyDescent="0.3">
      <c r="B36" s="197"/>
      <c r="C36" s="82" t="s">
        <v>801</v>
      </c>
      <c r="D36" s="82"/>
      <c r="E36" s="82"/>
      <c r="F36" s="82"/>
      <c r="G36" s="82"/>
      <c r="H36" s="870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71"/>
      <c r="AF36" s="871"/>
      <c r="AG36" s="871"/>
      <c r="AH36" s="871"/>
      <c r="AI36" s="871"/>
      <c r="AJ36" s="871"/>
      <c r="AK36" s="871"/>
      <c r="AL36" s="871"/>
      <c r="AM36" s="871"/>
      <c r="AN36" s="871"/>
      <c r="AO36" s="871"/>
      <c r="AP36" s="871"/>
      <c r="AQ36" s="871"/>
      <c r="AR36" s="871"/>
      <c r="AS36" s="871"/>
      <c r="AT36" s="871"/>
      <c r="AU36" s="871"/>
      <c r="AV36" s="871"/>
      <c r="AW36" s="871"/>
      <c r="AX36" s="871"/>
      <c r="AY36" s="871"/>
      <c r="AZ36" s="871"/>
      <c r="BA36" s="871"/>
      <c r="BB36" s="871"/>
      <c r="BC36" s="871"/>
      <c r="BD36" s="871"/>
      <c r="BE36" s="871"/>
      <c r="BF36" s="871"/>
      <c r="BG36" s="871"/>
      <c r="BH36" s="871"/>
      <c r="BI36" s="871"/>
      <c r="BJ36" s="872"/>
      <c r="BK36" s="200"/>
    </row>
    <row r="37" spans="2:63" x14ac:dyDescent="0.3">
      <c r="B37" s="199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172"/>
    </row>
    <row r="38" spans="2:63" ht="15.6" x14ac:dyDescent="0.3">
      <c r="B38" s="197"/>
      <c r="C38" s="192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857" t="s">
        <v>796</v>
      </c>
      <c r="AB38" s="857"/>
      <c r="AC38" s="857"/>
      <c r="AD38" s="857"/>
      <c r="AE38" s="190" t="s">
        <v>797</v>
      </c>
      <c r="AF38" s="857">
        <f>1+AF34</f>
        <v>10</v>
      </c>
      <c r="AG38" s="857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1"/>
      <c r="BK38" s="200"/>
    </row>
    <row r="39" spans="2:63" ht="15.6" x14ac:dyDescent="0.3">
      <c r="B39" s="197"/>
      <c r="C39" s="193" t="s">
        <v>798</v>
      </c>
      <c r="D39" s="193"/>
      <c r="E39" s="193"/>
      <c r="F39" s="193"/>
      <c r="G39" s="193"/>
      <c r="H39" s="858"/>
      <c r="I39" s="859"/>
      <c r="J39" s="859"/>
      <c r="K39" s="859"/>
      <c r="L39" s="859"/>
      <c r="M39" s="859"/>
      <c r="N39" s="859"/>
      <c r="O39" s="859"/>
      <c r="P39" s="859"/>
      <c r="Q39" s="860"/>
      <c r="R39" s="861" t="s">
        <v>799</v>
      </c>
      <c r="S39" s="861"/>
      <c r="T39" s="861"/>
      <c r="U39" s="861"/>
      <c r="V39" s="862"/>
      <c r="W39" s="863"/>
      <c r="X39" s="864"/>
      <c r="Y39" s="864"/>
      <c r="Z39" s="864"/>
      <c r="AA39" s="865" t="s">
        <v>800</v>
      </c>
      <c r="AB39" s="861"/>
      <c r="AC39" s="861"/>
      <c r="AD39" s="861"/>
      <c r="AE39" s="861"/>
      <c r="AF39" s="861"/>
      <c r="AG39" s="861"/>
      <c r="AH39" s="861"/>
      <c r="AI39" s="861"/>
      <c r="AJ39" s="861"/>
      <c r="AK39" s="861"/>
      <c r="AL39" s="861"/>
      <c r="AM39" s="861"/>
      <c r="AN39" s="861"/>
      <c r="AO39" s="862"/>
      <c r="AP39" s="866"/>
      <c r="AQ39" s="867"/>
      <c r="AR39" s="868"/>
      <c r="AS39" s="865" t="str">
        <f>IF(AP39="Sim","Informar potência da geração:","")</f>
        <v/>
      </c>
      <c r="AT39" s="861"/>
      <c r="AU39" s="861"/>
      <c r="AV39" s="861"/>
      <c r="AW39" s="861"/>
      <c r="AX39" s="861"/>
      <c r="AY39" s="861"/>
      <c r="AZ39" s="861"/>
      <c r="BA39" s="861"/>
      <c r="BB39" s="861"/>
      <c r="BC39" s="861"/>
      <c r="BD39" s="861"/>
      <c r="BE39" s="861"/>
      <c r="BF39" s="862"/>
      <c r="BG39" s="869"/>
      <c r="BH39" s="869"/>
      <c r="BI39" s="869"/>
      <c r="BJ39" s="869"/>
      <c r="BK39" s="200"/>
    </row>
    <row r="40" spans="2:63" ht="35.1" customHeight="1" x14ac:dyDescent="0.3">
      <c r="B40" s="197"/>
      <c r="C40" s="82" t="s">
        <v>801</v>
      </c>
      <c r="D40" s="82"/>
      <c r="E40" s="82"/>
      <c r="F40" s="82"/>
      <c r="G40" s="82"/>
      <c r="H40" s="870"/>
      <c r="I40" s="871"/>
      <c r="J40" s="871"/>
      <c r="K40" s="871"/>
      <c r="L40" s="871"/>
      <c r="M40" s="871"/>
      <c r="N40" s="871"/>
      <c r="O40" s="871"/>
      <c r="P40" s="871"/>
      <c r="Q40" s="871"/>
      <c r="R40" s="871"/>
      <c r="S40" s="871"/>
      <c r="T40" s="871"/>
      <c r="U40" s="871"/>
      <c r="V40" s="871"/>
      <c r="W40" s="871"/>
      <c r="X40" s="871"/>
      <c r="Y40" s="871"/>
      <c r="Z40" s="871"/>
      <c r="AA40" s="871"/>
      <c r="AB40" s="871"/>
      <c r="AC40" s="871"/>
      <c r="AD40" s="871"/>
      <c r="AE40" s="871"/>
      <c r="AF40" s="871"/>
      <c r="AG40" s="871"/>
      <c r="AH40" s="871"/>
      <c r="AI40" s="871"/>
      <c r="AJ40" s="871"/>
      <c r="AK40" s="871"/>
      <c r="AL40" s="871"/>
      <c r="AM40" s="871"/>
      <c r="AN40" s="871"/>
      <c r="AO40" s="871"/>
      <c r="AP40" s="871"/>
      <c r="AQ40" s="871"/>
      <c r="AR40" s="871"/>
      <c r="AS40" s="871"/>
      <c r="AT40" s="871"/>
      <c r="AU40" s="871"/>
      <c r="AV40" s="871"/>
      <c r="AW40" s="871"/>
      <c r="AX40" s="871"/>
      <c r="AY40" s="871"/>
      <c r="AZ40" s="871"/>
      <c r="BA40" s="871"/>
      <c r="BB40" s="871"/>
      <c r="BC40" s="871"/>
      <c r="BD40" s="871"/>
      <c r="BE40" s="871"/>
      <c r="BF40" s="871"/>
      <c r="BG40" s="871"/>
      <c r="BH40" s="871"/>
      <c r="BI40" s="871"/>
      <c r="BJ40" s="872"/>
      <c r="BK40" s="200"/>
    </row>
    <row r="41" spans="2:63" ht="15" thickBot="1" x14ac:dyDescent="0.35">
      <c r="B41" s="201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3"/>
    </row>
  </sheetData>
  <mergeCells count="83">
    <mergeCell ref="H40:BJ40"/>
    <mergeCell ref="H36:BJ36"/>
    <mergeCell ref="AA38:AD38"/>
    <mergeCell ref="AF38:AG38"/>
    <mergeCell ref="H39:Q39"/>
    <mergeCell ref="R39:V39"/>
    <mergeCell ref="W39:Z39"/>
    <mergeCell ref="AA39:AO39"/>
    <mergeCell ref="AP39:AR39"/>
    <mergeCell ref="AS39:BF39"/>
    <mergeCell ref="BG39:BJ39"/>
    <mergeCell ref="H32:BJ32"/>
    <mergeCell ref="AA34:AD34"/>
    <mergeCell ref="H35:Q35"/>
    <mergeCell ref="R35:V35"/>
    <mergeCell ref="W35:Z35"/>
    <mergeCell ref="AA35:AO35"/>
    <mergeCell ref="AP35:AR35"/>
    <mergeCell ref="AS35:BF35"/>
    <mergeCell ref="BG35:BJ35"/>
    <mergeCell ref="H28:BJ28"/>
    <mergeCell ref="AA30:AD30"/>
    <mergeCell ref="H31:Q31"/>
    <mergeCell ref="R31:V31"/>
    <mergeCell ref="W31:Z31"/>
    <mergeCell ref="AA31:AO31"/>
    <mergeCell ref="AP31:AR31"/>
    <mergeCell ref="AS31:BF31"/>
    <mergeCell ref="BG31:BJ31"/>
    <mergeCell ref="H24:BJ24"/>
    <mergeCell ref="AA26:AD26"/>
    <mergeCell ref="H27:Q27"/>
    <mergeCell ref="R27:V27"/>
    <mergeCell ref="W27:Z27"/>
    <mergeCell ref="AA27:AO27"/>
    <mergeCell ref="AP27:AR27"/>
    <mergeCell ref="AS27:BF27"/>
    <mergeCell ref="BG27:BJ27"/>
    <mergeCell ref="H20:BJ20"/>
    <mergeCell ref="AA22:AD22"/>
    <mergeCell ref="H23:Q23"/>
    <mergeCell ref="R23:V23"/>
    <mergeCell ref="W23:Z23"/>
    <mergeCell ref="AA23:AO23"/>
    <mergeCell ref="AP23:AR23"/>
    <mergeCell ref="AS23:BF23"/>
    <mergeCell ref="BG23:BJ23"/>
    <mergeCell ref="H16:BJ16"/>
    <mergeCell ref="AA18:AD18"/>
    <mergeCell ref="H19:Q19"/>
    <mergeCell ref="R19:V19"/>
    <mergeCell ref="W19:Z19"/>
    <mergeCell ref="AA19:AO19"/>
    <mergeCell ref="AP19:AR19"/>
    <mergeCell ref="AS19:BF19"/>
    <mergeCell ref="BG19:BJ19"/>
    <mergeCell ref="H12:BJ12"/>
    <mergeCell ref="AA14:AD14"/>
    <mergeCell ref="H15:Q15"/>
    <mergeCell ref="R15:V15"/>
    <mergeCell ref="W15:Z15"/>
    <mergeCell ref="AA15:AO15"/>
    <mergeCell ref="AP15:AR15"/>
    <mergeCell ref="AS15:BF15"/>
    <mergeCell ref="BG15:BJ15"/>
    <mergeCell ref="H7:BJ7"/>
    <mergeCell ref="AA10:AD10"/>
    <mergeCell ref="H11:Q11"/>
    <mergeCell ref="R11:V11"/>
    <mergeCell ref="W11:Z11"/>
    <mergeCell ref="AA11:AO11"/>
    <mergeCell ref="AP11:AR11"/>
    <mergeCell ref="AS11:BF11"/>
    <mergeCell ref="BG11:BJ11"/>
    <mergeCell ref="C3:BJ3"/>
    <mergeCell ref="AA5:AD5"/>
    <mergeCell ref="H6:Q6"/>
    <mergeCell ref="R6:V6"/>
    <mergeCell ref="W6:Z6"/>
    <mergeCell ref="AA6:AO6"/>
    <mergeCell ref="AP6:AR6"/>
    <mergeCell ref="AS6:BF6"/>
    <mergeCell ref="BG6:BJ6"/>
  </mergeCells>
  <dataValidations count="1">
    <dataValidation type="list" allowBlank="1" showInputMessage="1" showErrorMessage="1" prompt="Favor escolher entre &quot;Sim&quot; ou &quot;Não&quot;" sqref="AP6 AP11 AP15 AP19 AP23 AP27 AP31 AP35 AP39" xr:uid="{1B3D203B-5394-4972-B733-4988DB3B8636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scale="52" orientation="portrait" r:id="rId1"/>
  <headerFooter>
    <oddFooter>&amp;R_x000D_&amp;1#&amp;"Calibri"&amp;10&amp;K000000 Classificação: Direcionado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44" id="{8229DF0B-B3EC-4602-A2E8-D661AB120F59}">
            <xm:f>IF('Formulário MT'!$N$87=2,TRUE)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C10:BJ10 C11:V11 AA11:BJ11 C12:BJ14 C15:V15 AA15:BJ15 C16:BJ18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369" id="{64965D9C-5F2D-499D-84D3-5F3D2C2AA627}">
            <xm:f>IF('Formulário MT'!$N$87=3,TRUE)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C14:BJ14 C15:V15 AA15:BJ15 C16:BJ18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391" id="{7BD3530E-C3D4-4C27-A845-4F6159AE99E1}">
            <xm:f>IF('Formulário MT'!$N$87=4,TRUE)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C18:BJ18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410" id="{DFBDAA0C-25F5-4F9D-8CAB-E8A8E0DA893F}">
            <xm:f>IF('Formulário MT'!$N$87=5,TRUE)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C22:BJ22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426" id="{C9039965-FAA3-4059-97A7-26C7AC36EA3B}">
            <xm:f>IF('Formulário MT'!$N$87=6,TRUE)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C26:BJ26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439" id="{2D0D10C8-F18F-4537-BF2A-725CAF48046A}">
            <xm:f>IF('Formulário MT'!$N$87=7,TRUE)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C30:BJ30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449" id="{44EE4D5C-2DD8-4A55-B5E7-B1CE149FAB75}">
            <xm:f>IF('Formulário MT'!$N$87=8,TRUE)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C34:BJ34 C35:V35 AA35:BJ35 C36:BJ38 C39:V39 AA39:BJ39 C40:BJ40</xm:sqref>
        </x14:conditionalFormatting>
        <x14:conditionalFormatting xmlns:xm="http://schemas.microsoft.com/office/excel/2006/main">
          <x14:cfRule type="expression" priority="2456" id="{A0E9B3FF-4542-4387-9A67-DDE2B7AFECE8}">
            <xm:f>IF('Formulário MT'!$N$87=9,TRUE)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C38:BJ38 C39:V39 AA39:BJ39 C40:BJ40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79E7-10C1-45B3-80A8-86F5FDB5D9DD}">
  <sheetPr codeName="Planilha5"/>
  <dimension ref="A1:BN232"/>
  <sheetViews>
    <sheetView showGridLines="0" topLeftCell="A3" zoomScale="85" zoomScaleNormal="85" workbookViewId="0">
      <selection activeCell="Z5" sqref="Z5:AI5"/>
    </sheetView>
  </sheetViews>
  <sheetFormatPr defaultColWidth="0" defaultRowHeight="14.4" zeroHeight="1" x14ac:dyDescent="0.3"/>
  <cols>
    <col min="1" max="5" width="2.6640625" customWidth="1"/>
    <col min="6" max="7" width="3" customWidth="1"/>
    <col min="8" max="66" width="2.6640625" customWidth="1"/>
    <col min="67" max="16384" width="2.6640625" hidden="1"/>
  </cols>
  <sheetData>
    <row r="1" spans="2:64" ht="15" thickBot="1" x14ac:dyDescent="0.35"/>
    <row r="2" spans="2:64" x14ac:dyDescent="0.3">
      <c r="B2" s="194"/>
      <c r="C2" s="258">
        <v>1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6"/>
      <c r="BL2" s="36"/>
    </row>
    <row r="3" spans="2:64" ht="15.6" x14ac:dyDescent="0.3">
      <c r="B3" s="197"/>
      <c r="C3" s="856" t="s">
        <v>802</v>
      </c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T3" s="856"/>
      <c r="U3" s="856"/>
      <c r="V3" s="856"/>
      <c r="W3" s="856"/>
      <c r="X3" s="856"/>
      <c r="Y3" s="856"/>
      <c r="Z3" s="856"/>
      <c r="AA3" s="856"/>
      <c r="AB3" s="856"/>
      <c r="AC3" s="856"/>
      <c r="AD3" s="856"/>
      <c r="AE3" s="856"/>
      <c r="AF3" s="856"/>
      <c r="AG3" s="856"/>
      <c r="AH3" s="856"/>
      <c r="AI3" s="856"/>
      <c r="AJ3" s="856"/>
      <c r="AK3" s="856"/>
      <c r="AL3" s="856"/>
      <c r="AM3" s="856"/>
      <c r="AN3" s="856"/>
      <c r="AO3" s="856"/>
      <c r="AP3" s="856"/>
      <c r="AQ3" s="856"/>
      <c r="AR3" s="856"/>
      <c r="AS3" s="856"/>
      <c r="AT3" s="856"/>
      <c r="AU3" s="856"/>
      <c r="AV3" s="856"/>
      <c r="AW3" s="856"/>
      <c r="AX3" s="856"/>
      <c r="AY3" s="856"/>
      <c r="AZ3" s="856"/>
      <c r="BA3" s="856"/>
      <c r="BB3" s="856"/>
      <c r="BC3" s="856"/>
      <c r="BD3" s="856"/>
      <c r="BE3" s="856"/>
      <c r="BF3" s="856"/>
      <c r="BG3" s="856"/>
      <c r="BH3" s="856"/>
      <c r="BI3" s="856"/>
      <c r="BJ3" s="856"/>
      <c r="BK3" s="271"/>
      <c r="BL3" s="36"/>
    </row>
    <row r="4" spans="2:64" ht="6" customHeight="1" x14ac:dyDescent="0.3">
      <c r="B4" s="199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172"/>
      <c r="BL4" s="36"/>
    </row>
    <row r="5" spans="2:64" ht="20.100000000000001" customHeight="1" x14ac:dyDescent="0.3">
      <c r="B5" s="199"/>
      <c r="C5" s="355" t="s">
        <v>803</v>
      </c>
      <c r="D5" s="263"/>
      <c r="E5" s="263"/>
      <c r="F5" s="263"/>
      <c r="G5" s="263">
        <f>(1+$C$2)</f>
        <v>2</v>
      </c>
      <c r="H5" s="356" t="s">
        <v>797</v>
      </c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4"/>
      <c r="U5" s="907" t="s">
        <v>798</v>
      </c>
      <c r="V5" s="907"/>
      <c r="W5" s="907"/>
      <c r="X5" s="907"/>
      <c r="Y5" s="907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192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72"/>
      <c r="BL5" s="36"/>
    </row>
    <row r="6" spans="2:64" ht="3.9" customHeight="1" x14ac:dyDescent="0.3">
      <c r="B6" s="199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172"/>
      <c r="BL6" s="36"/>
    </row>
    <row r="7" spans="2:64" ht="17.399999999999999" x14ac:dyDescent="0.3">
      <c r="B7" s="199"/>
      <c r="C7" s="886" t="s">
        <v>804</v>
      </c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8"/>
      <c r="AE7" s="135"/>
      <c r="AF7" s="135"/>
      <c r="AG7" s="135"/>
      <c r="AH7" s="135"/>
      <c r="AI7" s="889" t="s">
        <v>805</v>
      </c>
      <c r="AJ7" s="889"/>
      <c r="AK7" s="889"/>
      <c r="AL7" s="889"/>
      <c r="AM7" s="889"/>
      <c r="AN7" s="889"/>
      <c r="AO7" s="889"/>
      <c r="AP7" s="889"/>
      <c r="AQ7" s="889"/>
      <c r="AR7" s="889"/>
      <c r="AS7" s="889"/>
      <c r="AT7" s="889"/>
      <c r="AU7" s="889"/>
      <c r="AV7" s="889"/>
      <c r="AW7" s="889"/>
      <c r="AX7" s="889"/>
      <c r="AY7" s="889"/>
      <c r="AZ7" s="889"/>
      <c r="BA7" s="889"/>
      <c r="BB7" s="889"/>
      <c r="BC7" s="889"/>
      <c r="BD7" s="889"/>
      <c r="BE7" s="889"/>
      <c r="BF7" s="889"/>
      <c r="BG7" s="889"/>
      <c r="BH7" s="889"/>
      <c r="BI7" s="889"/>
      <c r="BJ7" s="889"/>
      <c r="BK7" s="172"/>
      <c r="BL7" s="36"/>
    </row>
    <row r="8" spans="2:64" ht="3.9" customHeight="1" x14ac:dyDescent="0.3">
      <c r="B8" s="199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7"/>
      <c r="BG8" s="267"/>
      <c r="BH8" s="267"/>
      <c r="BI8" s="267"/>
      <c r="BJ8" s="267"/>
      <c r="BK8" s="172"/>
      <c r="BL8" s="36"/>
    </row>
    <row r="9" spans="2:64" ht="23.4" customHeight="1" x14ac:dyDescent="0.3">
      <c r="B9" s="199"/>
      <c r="C9" s="873" t="s">
        <v>81</v>
      </c>
      <c r="D9" s="874"/>
      <c r="E9" s="874"/>
      <c r="F9" s="874"/>
      <c r="G9" s="874"/>
      <c r="H9" s="890" t="s">
        <v>806</v>
      </c>
      <c r="I9" s="891"/>
      <c r="J9" s="891"/>
      <c r="K9" s="891"/>
      <c r="L9" s="891"/>
      <c r="M9" s="873" t="s">
        <v>83</v>
      </c>
      <c r="N9" s="874"/>
      <c r="O9" s="874"/>
      <c r="P9" s="874"/>
      <c r="Q9" s="874"/>
      <c r="R9" s="892" t="s">
        <v>807</v>
      </c>
      <c r="S9" s="893"/>
      <c r="T9" s="893"/>
      <c r="U9" s="893"/>
      <c r="V9" s="894"/>
      <c r="W9" s="895" t="s">
        <v>84</v>
      </c>
      <c r="X9" s="896"/>
      <c r="Y9" s="896"/>
      <c r="Z9" s="896"/>
      <c r="AA9" s="896"/>
      <c r="AB9" s="896"/>
      <c r="AC9" s="896"/>
      <c r="AD9" s="897"/>
      <c r="AE9" s="134"/>
      <c r="AF9" s="134"/>
      <c r="AG9" s="134"/>
      <c r="AH9" s="134"/>
      <c r="AI9" s="898" t="s">
        <v>85</v>
      </c>
      <c r="AJ9" s="898"/>
      <c r="AK9" s="898"/>
      <c r="AL9" s="898"/>
      <c r="AM9" s="898"/>
      <c r="AN9" s="898"/>
      <c r="AO9" s="898"/>
      <c r="AP9" s="898"/>
      <c r="AQ9" s="898"/>
      <c r="AR9" s="898"/>
      <c r="AS9" s="898"/>
      <c r="AT9" s="898"/>
      <c r="AU9" s="898"/>
      <c r="AV9" s="898"/>
      <c r="AW9" s="898"/>
      <c r="AX9" s="898"/>
      <c r="AY9" s="898"/>
      <c r="AZ9" s="898"/>
      <c r="BA9" s="898"/>
      <c r="BB9" s="898"/>
      <c r="BC9" s="898"/>
      <c r="BD9" s="898"/>
      <c r="BE9" s="898"/>
      <c r="BF9" s="898"/>
      <c r="BG9" s="898"/>
      <c r="BH9" s="898"/>
      <c r="BI9" s="898"/>
      <c r="BJ9" s="898"/>
      <c r="BK9" s="172"/>
      <c r="BL9" s="36"/>
    </row>
    <row r="10" spans="2:64" ht="20.100000000000001" customHeight="1" x14ac:dyDescent="0.3">
      <c r="B10" s="199"/>
      <c r="C10" s="873" t="s">
        <v>86</v>
      </c>
      <c r="D10" s="874"/>
      <c r="E10" s="874"/>
      <c r="F10" s="874"/>
      <c r="G10" s="874"/>
      <c r="H10" s="899"/>
      <c r="I10" s="900"/>
      <c r="J10" s="900"/>
      <c r="K10" s="900"/>
      <c r="L10" s="901"/>
      <c r="M10" s="902"/>
      <c r="N10" s="903"/>
      <c r="O10" s="903"/>
      <c r="P10" s="903"/>
      <c r="Q10" s="903"/>
      <c r="R10" s="880"/>
      <c r="S10" s="881"/>
      <c r="T10" s="881"/>
      <c r="U10" s="881"/>
      <c r="V10" s="882"/>
      <c r="W10" s="904"/>
      <c r="X10" s="879"/>
      <c r="Y10" s="879"/>
      <c r="Z10" s="879"/>
      <c r="AA10" s="879"/>
      <c r="AB10" s="879"/>
      <c r="AC10" s="879"/>
      <c r="AD10" s="905"/>
      <c r="AE10" s="133"/>
      <c r="AF10" s="133"/>
      <c r="AG10" s="133"/>
      <c r="AH10" s="133"/>
      <c r="AI10" s="898"/>
      <c r="AJ10" s="898"/>
      <c r="AK10" s="898"/>
      <c r="AL10" s="898"/>
      <c r="AM10" s="898"/>
      <c r="AN10" s="898"/>
      <c r="AO10" s="898"/>
      <c r="AP10" s="898"/>
      <c r="AQ10" s="898"/>
      <c r="AR10" s="898"/>
      <c r="AS10" s="898"/>
      <c r="AT10" s="898"/>
      <c r="AU10" s="898"/>
      <c r="AV10" s="898"/>
      <c r="AW10" s="898"/>
      <c r="AX10" s="898"/>
      <c r="AY10" s="898"/>
      <c r="AZ10" s="898"/>
      <c r="BA10" s="898"/>
      <c r="BB10" s="898"/>
      <c r="BC10" s="898"/>
      <c r="BD10" s="898"/>
      <c r="BE10" s="898"/>
      <c r="BF10" s="898"/>
      <c r="BG10" s="898"/>
      <c r="BH10" s="898"/>
      <c r="BI10" s="898"/>
      <c r="BJ10" s="898"/>
      <c r="BK10" s="172"/>
      <c r="BL10" s="36"/>
    </row>
    <row r="11" spans="2:64" ht="20.100000000000001" customHeight="1" x14ac:dyDescent="0.3">
      <c r="B11" s="199"/>
      <c r="C11" s="873" t="s">
        <v>87</v>
      </c>
      <c r="D11" s="874"/>
      <c r="E11" s="874"/>
      <c r="F11" s="874"/>
      <c r="G11" s="874"/>
      <c r="H11" s="875"/>
      <c r="I11" s="876"/>
      <c r="J11" s="876"/>
      <c r="K11" s="876"/>
      <c r="L11" s="877"/>
      <c r="M11" s="878"/>
      <c r="N11" s="879"/>
      <c r="O11" s="879"/>
      <c r="P11" s="879"/>
      <c r="Q11" s="879"/>
      <c r="R11" s="880"/>
      <c r="S11" s="881"/>
      <c r="T11" s="881"/>
      <c r="U11" s="881"/>
      <c r="V11" s="882"/>
      <c r="W11" s="883"/>
      <c r="X11" s="884"/>
      <c r="Y11" s="884"/>
      <c r="Z11" s="884"/>
      <c r="AA11" s="884"/>
      <c r="AB11" s="884"/>
      <c r="AC11" s="884"/>
      <c r="AD11" s="885"/>
      <c r="AE11" s="133"/>
      <c r="AF11" s="133"/>
      <c r="AG11" s="133"/>
      <c r="AH11" s="133"/>
      <c r="AI11" s="267"/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7"/>
      <c r="BG11" s="267"/>
      <c r="BH11" s="267"/>
      <c r="BI11" s="267"/>
      <c r="BJ11" s="267"/>
      <c r="BK11" s="172"/>
      <c r="BL11" s="36"/>
    </row>
    <row r="12" spans="2:64" ht="20.100000000000001" customHeight="1" x14ac:dyDescent="0.3">
      <c r="B12" s="199"/>
      <c r="C12" s="873" t="s">
        <v>88</v>
      </c>
      <c r="D12" s="874"/>
      <c r="E12" s="874"/>
      <c r="F12" s="874"/>
      <c r="G12" s="874"/>
      <c r="H12" s="875"/>
      <c r="I12" s="876"/>
      <c r="J12" s="876"/>
      <c r="K12" s="876"/>
      <c r="L12" s="877"/>
      <c r="M12" s="878"/>
      <c r="N12" s="879"/>
      <c r="O12" s="879"/>
      <c r="P12" s="879"/>
      <c r="Q12" s="879"/>
      <c r="R12" s="880"/>
      <c r="S12" s="881"/>
      <c r="T12" s="881"/>
      <c r="U12" s="881"/>
      <c r="V12" s="882"/>
      <c r="W12" s="883"/>
      <c r="X12" s="884"/>
      <c r="Y12" s="884"/>
      <c r="Z12" s="884"/>
      <c r="AA12" s="884"/>
      <c r="AB12" s="884"/>
      <c r="AC12" s="884"/>
      <c r="AD12" s="885"/>
      <c r="AE12" s="133"/>
      <c r="AF12" s="133"/>
      <c r="AG12" s="133"/>
      <c r="AH12" s="133"/>
      <c r="AI12" s="908" t="s">
        <v>89</v>
      </c>
      <c r="AJ12" s="908"/>
      <c r="AK12" s="908"/>
      <c r="AL12" s="908"/>
      <c r="AM12" s="908"/>
      <c r="AN12" s="908"/>
      <c r="AO12" s="908"/>
      <c r="AP12" s="908"/>
      <c r="AQ12" s="908"/>
      <c r="AR12" s="908"/>
      <c r="AS12" s="908"/>
      <c r="AT12" s="908"/>
      <c r="AU12" s="908"/>
      <c r="AV12" s="908"/>
      <c r="AW12" s="908"/>
      <c r="AX12" s="908"/>
      <c r="AY12" s="908"/>
      <c r="AZ12" s="908"/>
      <c r="BA12" s="723"/>
      <c r="BB12" s="723"/>
      <c r="BC12" s="723"/>
      <c r="BD12" s="723"/>
      <c r="BE12" s="723"/>
      <c r="BF12" s="723"/>
      <c r="BG12" s="723"/>
      <c r="BH12" s="723"/>
      <c r="BI12" s="723"/>
      <c r="BJ12" s="723"/>
      <c r="BK12" s="172"/>
      <c r="BL12" s="36"/>
    </row>
    <row r="13" spans="2:64" ht="20.100000000000001" customHeight="1" x14ac:dyDescent="0.3">
      <c r="B13" s="199"/>
      <c r="C13" s="873" t="s">
        <v>90</v>
      </c>
      <c r="D13" s="874"/>
      <c r="E13" s="874"/>
      <c r="F13" s="874"/>
      <c r="G13" s="874"/>
      <c r="H13" s="875"/>
      <c r="I13" s="876"/>
      <c r="J13" s="876"/>
      <c r="K13" s="876"/>
      <c r="L13" s="877"/>
      <c r="M13" s="878"/>
      <c r="N13" s="879"/>
      <c r="O13" s="879"/>
      <c r="P13" s="879"/>
      <c r="Q13" s="879"/>
      <c r="R13" s="880"/>
      <c r="S13" s="881"/>
      <c r="T13" s="881"/>
      <c r="U13" s="881"/>
      <c r="V13" s="882"/>
      <c r="W13" s="883"/>
      <c r="X13" s="884"/>
      <c r="Y13" s="884"/>
      <c r="Z13" s="884"/>
      <c r="AA13" s="884"/>
      <c r="AB13" s="884"/>
      <c r="AC13" s="884"/>
      <c r="AD13" s="885"/>
      <c r="AE13" s="133"/>
      <c r="AF13" s="133"/>
      <c r="AG13" s="133"/>
      <c r="AH13" s="133"/>
      <c r="AI13" s="908"/>
      <c r="AJ13" s="908"/>
      <c r="AK13" s="908"/>
      <c r="AL13" s="908"/>
      <c r="AM13" s="908"/>
      <c r="AN13" s="908"/>
      <c r="AO13" s="908"/>
      <c r="AP13" s="908"/>
      <c r="AQ13" s="908"/>
      <c r="AR13" s="908"/>
      <c r="AS13" s="908"/>
      <c r="AT13" s="908"/>
      <c r="AU13" s="908"/>
      <c r="AV13" s="908"/>
      <c r="AW13" s="908"/>
      <c r="AX13" s="908"/>
      <c r="AY13" s="908"/>
      <c r="AZ13" s="908"/>
      <c r="BA13" s="723"/>
      <c r="BB13" s="723"/>
      <c r="BC13" s="723"/>
      <c r="BD13" s="723"/>
      <c r="BE13" s="723"/>
      <c r="BF13" s="723"/>
      <c r="BG13" s="723"/>
      <c r="BH13" s="723"/>
      <c r="BI13" s="723"/>
      <c r="BJ13" s="723"/>
      <c r="BK13" s="172"/>
      <c r="BL13" s="36"/>
    </row>
    <row r="14" spans="2:64" ht="20.100000000000001" customHeight="1" x14ac:dyDescent="0.3">
      <c r="B14" s="199"/>
      <c r="C14" s="873" t="s">
        <v>91</v>
      </c>
      <c r="D14" s="874"/>
      <c r="E14" s="874"/>
      <c r="F14" s="874"/>
      <c r="G14" s="874"/>
      <c r="H14" s="875"/>
      <c r="I14" s="876"/>
      <c r="J14" s="876"/>
      <c r="K14" s="876"/>
      <c r="L14" s="877"/>
      <c r="M14" s="878"/>
      <c r="N14" s="879"/>
      <c r="O14" s="879"/>
      <c r="P14" s="879"/>
      <c r="Q14" s="879"/>
      <c r="R14" s="880"/>
      <c r="S14" s="881"/>
      <c r="T14" s="881"/>
      <c r="U14" s="881"/>
      <c r="V14" s="882"/>
      <c r="W14" s="883"/>
      <c r="X14" s="884"/>
      <c r="Y14" s="884"/>
      <c r="Z14" s="884"/>
      <c r="AA14" s="884"/>
      <c r="AB14" s="884"/>
      <c r="AC14" s="884"/>
      <c r="AD14" s="885"/>
      <c r="AE14" s="133"/>
      <c r="AF14" s="133"/>
      <c r="AG14" s="133"/>
      <c r="AH14" s="133"/>
      <c r="AI14" s="908" t="s">
        <v>92</v>
      </c>
      <c r="AJ14" s="908"/>
      <c r="AK14" s="908"/>
      <c r="AL14" s="908"/>
      <c r="AM14" s="908"/>
      <c r="AN14" s="908"/>
      <c r="AO14" s="908"/>
      <c r="AP14" s="908"/>
      <c r="AQ14" s="908"/>
      <c r="AR14" s="908"/>
      <c r="AS14" s="908"/>
      <c r="AT14" s="908"/>
      <c r="AU14" s="908"/>
      <c r="AV14" s="908"/>
      <c r="AW14" s="908"/>
      <c r="AX14" s="908"/>
      <c r="AY14" s="908"/>
      <c r="AZ14" s="908"/>
      <c r="BA14" s="396"/>
      <c r="BB14" s="396"/>
      <c r="BC14" s="396"/>
      <c r="BD14" s="396"/>
      <c r="BE14" s="396"/>
      <c r="BF14" s="396"/>
      <c r="BG14" s="396"/>
      <c r="BH14" s="396"/>
      <c r="BI14" s="396"/>
      <c r="BJ14" s="396"/>
      <c r="BK14" s="172"/>
      <c r="BL14" s="36"/>
    </row>
    <row r="15" spans="2:64" ht="20.100000000000001" customHeight="1" x14ac:dyDescent="0.3">
      <c r="B15" s="199"/>
      <c r="C15" s="873" t="s">
        <v>93</v>
      </c>
      <c r="D15" s="874"/>
      <c r="E15" s="874"/>
      <c r="F15" s="874"/>
      <c r="G15" s="874"/>
      <c r="H15" s="875"/>
      <c r="I15" s="876"/>
      <c r="J15" s="876"/>
      <c r="K15" s="876"/>
      <c r="L15" s="877"/>
      <c r="M15" s="878"/>
      <c r="N15" s="879"/>
      <c r="O15" s="879"/>
      <c r="P15" s="879"/>
      <c r="Q15" s="879"/>
      <c r="R15" s="880"/>
      <c r="S15" s="881"/>
      <c r="T15" s="881"/>
      <c r="U15" s="881"/>
      <c r="V15" s="882"/>
      <c r="W15" s="883"/>
      <c r="X15" s="884"/>
      <c r="Y15" s="884"/>
      <c r="Z15" s="884"/>
      <c r="AA15" s="884"/>
      <c r="AB15" s="884"/>
      <c r="AC15" s="884"/>
      <c r="AD15" s="885"/>
      <c r="AE15" s="133"/>
      <c r="AF15" s="133"/>
      <c r="AG15" s="133"/>
      <c r="AH15" s="133"/>
      <c r="AI15" s="908"/>
      <c r="AJ15" s="908"/>
      <c r="AK15" s="908"/>
      <c r="AL15" s="908"/>
      <c r="AM15" s="908"/>
      <c r="AN15" s="908"/>
      <c r="AO15" s="908"/>
      <c r="AP15" s="908"/>
      <c r="AQ15" s="908"/>
      <c r="AR15" s="908"/>
      <c r="AS15" s="908"/>
      <c r="AT15" s="908"/>
      <c r="AU15" s="908"/>
      <c r="AV15" s="908"/>
      <c r="AW15" s="908"/>
      <c r="AX15" s="908"/>
      <c r="AY15" s="908"/>
      <c r="AZ15" s="908"/>
      <c r="BA15" s="396"/>
      <c r="BB15" s="396"/>
      <c r="BC15" s="396"/>
      <c r="BD15" s="396"/>
      <c r="BE15" s="396"/>
      <c r="BF15" s="396"/>
      <c r="BG15" s="396"/>
      <c r="BH15" s="396"/>
      <c r="BI15" s="396"/>
      <c r="BJ15" s="396"/>
      <c r="BK15" s="172"/>
      <c r="BL15" s="36"/>
    </row>
    <row r="16" spans="2:64" ht="20.100000000000001" customHeight="1" x14ac:dyDescent="0.3">
      <c r="B16" s="199"/>
      <c r="C16" s="873" t="s">
        <v>94</v>
      </c>
      <c r="D16" s="874"/>
      <c r="E16" s="874"/>
      <c r="F16" s="874"/>
      <c r="G16" s="874"/>
      <c r="H16" s="875"/>
      <c r="I16" s="876"/>
      <c r="J16" s="876"/>
      <c r="K16" s="876"/>
      <c r="L16" s="877"/>
      <c r="M16" s="916"/>
      <c r="N16" s="916"/>
      <c r="O16" s="916"/>
      <c r="P16" s="916"/>
      <c r="Q16" s="878"/>
      <c r="R16" s="880"/>
      <c r="S16" s="881"/>
      <c r="T16" s="881"/>
      <c r="U16" s="881"/>
      <c r="V16" s="882"/>
      <c r="W16" s="883"/>
      <c r="X16" s="884"/>
      <c r="Y16" s="884"/>
      <c r="Z16" s="884"/>
      <c r="AA16" s="884"/>
      <c r="AB16" s="884"/>
      <c r="AC16" s="884"/>
      <c r="AD16" s="885"/>
      <c r="AE16" s="133"/>
      <c r="AF16" s="133"/>
      <c r="AG16" s="133"/>
      <c r="AH16" s="133"/>
      <c r="AI16" s="908" t="s">
        <v>95</v>
      </c>
      <c r="AJ16" s="908"/>
      <c r="AK16" s="908"/>
      <c r="AL16" s="908"/>
      <c r="AM16" s="908"/>
      <c r="AN16" s="908"/>
      <c r="AO16" s="908"/>
      <c r="AP16" s="908"/>
      <c r="AQ16" s="908"/>
      <c r="AR16" s="908"/>
      <c r="AS16" s="908"/>
      <c r="AT16" s="908"/>
      <c r="AU16" s="908"/>
      <c r="AV16" s="908"/>
      <c r="AW16" s="908"/>
      <c r="AX16" s="908"/>
      <c r="AY16" s="908"/>
      <c r="AZ16" s="908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172"/>
      <c r="BL16" s="36"/>
    </row>
    <row r="17" spans="2:64" ht="20.100000000000001" customHeight="1" x14ac:dyDescent="0.3">
      <c r="B17" s="199"/>
      <c r="C17" s="909" t="s">
        <v>96</v>
      </c>
      <c r="D17" s="910"/>
      <c r="E17" s="910"/>
      <c r="F17" s="910"/>
      <c r="G17" s="911"/>
      <c r="H17" s="912">
        <f>(H10*M10)+(H11*M11)+(H12*M12)+(H13*M13)+(H14*M14)+(H15*M15)+(H16*M16)</f>
        <v>0</v>
      </c>
      <c r="I17" s="912"/>
      <c r="J17" s="912"/>
      <c r="K17" s="912"/>
      <c r="L17" s="912"/>
      <c r="M17" s="913">
        <f>SUMIF(H10:L16,"&lt;&gt;"&amp;"",M10:Q16)</f>
        <v>0</v>
      </c>
      <c r="N17" s="914"/>
      <c r="O17" s="914"/>
      <c r="P17" s="914"/>
      <c r="Q17" s="915"/>
      <c r="R17" s="974"/>
      <c r="S17" s="975"/>
      <c r="T17" s="975"/>
      <c r="U17" s="975"/>
      <c r="V17" s="975"/>
      <c r="W17" s="976"/>
      <c r="X17" s="976"/>
      <c r="Y17" s="976"/>
      <c r="Z17" s="976"/>
      <c r="AA17" s="976"/>
      <c r="AB17" s="976"/>
      <c r="AC17" s="976"/>
      <c r="AD17" s="977"/>
      <c r="AE17" s="132"/>
      <c r="AF17" s="132"/>
      <c r="AG17" s="132"/>
      <c r="AH17" s="132"/>
      <c r="AI17" s="908"/>
      <c r="AJ17" s="908"/>
      <c r="AK17" s="908"/>
      <c r="AL17" s="908"/>
      <c r="AM17" s="908"/>
      <c r="AN17" s="908"/>
      <c r="AO17" s="908"/>
      <c r="AP17" s="908"/>
      <c r="AQ17" s="908"/>
      <c r="AR17" s="908"/>
      <c r="AS17" s="908"/>
      <c r="AT17" s="908"/>
      <c r="AU17" s="908"/>
      <c r="AV17" s="908"/>
      <c r="AW17" s="908"/>
      <c r="AX17" s="908"/>
      <c r="AY17" s="908"/>
      <c r="AZ17" s="908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172"/>
      <c r="BL17" s="36"/>
    </row>
    <row r="18" spans="2:64" ht="5.25" customHeight="1" x14ac:dyDescent="0.3">
      <c r="B18" s="199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172"/>
      <c r="BL18" s="36"/>
    </row>
    <row r="19" spans="2:64" s="136" customFormat="1" ht="30.9" customHeight="1" x14ac:dyDescent="0.3">
      <c r="B19" s="268"/>
      <c r="C19" s="1029" t="s">
        <v>117</v>
      </c>
      <c r="D19" s="1030"/>
      <c r="E19" s="1030"/>
      <c r="F19" s="1030"/>
      <c r="G19" s="1030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30"/>
      <c r="AB19" s="1030"/>
      <c r="AC19" s="1030"/>
      <c r="AD19" s="1030"/>
      <c r="AE19" s="1030"/>
      <c r="AF19" s="1030"/>
      <c r="AG19" s="1030"/>
      <c r="AH19" s="1030"/>
      <c r="AI19" s="1030"/>
      <c r="AJ19" s="1030"/>
      <c r="AK19" s="1030"/>
      <c r="AL19" s="1030"/>
      <c r="AM19" s="1030"/>
      <c r="AN19" s="1030"/>
      <c r="AO19" s="1030"/>
      <c r="AP19" s="1030"/>
      <c r="AQ19" s="1030"/>
      <c r="AR19" s="1030"/>
      <c r="AS19" s="1030"/>
      <c r="AT19" s="1030"/>
      <c r="AU19" s="1030"/>
      <c r="AV19" s="1030"/>
      <c r="AW19" s="1030"/>
      <c r="AX19" s="1030"/>
      <c r="AY19" s="1030"/>
      <c r="AZ19" s="1030"/>
      <c r="BA19" s="1030"/>
      <c r="BB19" s="1030"/>
      <c r="BC19" s="1030"/>
      <c r="BD19" s="1030"/>
      <c r="BE19" s="1030"/>
      <c r="BF19" s="1030"/>
      <c r="BG19" s="1030"/>
      <c r="BH19" s="1030"/>
      <c r="BI19" s="1030"/>
      <c r="BJ19" s="1030"/>
      <c r="BK19" s="273"/>
      <c r="BL19" s="270"/>
    </row>
    <row r="20" spans="2:64" s="136" customFormat="1" ht="39.75" customHeight="1" x14ac:dyDescent="0.3">
      <c r="B20" s="268"/>
      <c r="C20" s="1031" t="s">
        <v>99</v>
      </c>
      <c r="D20" s="1031"/>
      <c r="E20" s="1031"/>
      <c r="F20" s="1031"/>
      <c r="G20" s="1031"/>
      <c r="H20" s="1031"/>
      <c r="I20" s="1031"/>
      <c r="J20" s="1031"/>
      <c r="K20" s="1031"/>
      <c r="L20" s="1032" t="s">
        <v>118</v>
      </c>
      <c r="M20" s="1033"/>
      <c r="N20" s="1033"/>
      <c r="O20" s="1033"/>
      <c r="P20" s="1033"/>
      <c r="Q20" s="1034"/>
      <c r="R20" s="1032" t="s">
        <v>119</v>
      </c>
      <c r="S20" s="1033"/>
      <c r="T20" s="1033"/>
      <c r="U20" s="1033"/>
      <c r="V20" s="1034"/>
      <c r="W20" s="1031" t="s">
        <v>120</v>
      </c>
      <c r="X20" s="1031"/>
      <c r="Y20" s="1031"/>
      <c r="Z20" s="1031"/>
      <c r="AA20" s="1031"/>
      <c r="AB20" s="1031"/>
      <c r="AC20" s="1031" t="s">
        <v>121</v>
      </c>
      <c r="AD20" s="1031"/>
      <c r="AE20" s="1031"/>
      <c r="AF20" s="1031"/>
      <c r="AG20" s="1031"/>
      <c r="AH20" s="1031"/>
      <c r="AI20" s="1035" t="s">
        <v>122</v>
      </c>
      <c r="AJ20" s="1036"/>
      <c r="AK20" s="1036"/>
      <c r="AL20" s="1036"/>
      <c r="AM20" s="1037"/>
      <c r="AN20" s="1035" t="s">
        <v>123</v>
      </c>
      <c r="AO20" s="1036"/>
      <c r="AP20" s="1036"/>
      <c r="AQ20" s="1037"/>
      <c r="AR20" s="1035" t="s">
        <v>106</v>
      </c>
      <c r="AS20" s="1036"/>
      <c r="AT20" s="1036"/>
      <c r="AU20" s="1037"/>
      <c r="AV20" s="1032" t="s">
        <v>124</v>
      </c>
      <c r="AW20" s="1033"/>
      <c r="AX20" s="1033"/>
      <c r="AY20" s="1034"/>
      <c r="AZ20" s="1035" t="s">
        <v>125</v>
      </c>
      <c r="BA20" s="1036"/>
      <c r="BB20" s="1036"/>
      <c r="BC20" s="1037"/>
      <c r="BD20" s="1035" t="s">
        <v>111</v>
      </c>
      <c r="BE20" s="1036"/>
      <c r="BF20" s="1036"/>
      <c r="BG20" s="1036"/>
      <c r="BH20" s="1036"/>
      <c r="BI20" s="1036"/>
      <c r="BJ20" s="1036"/>
      <c r="BK20" s="273"/>
      <c r="BL20" s="270"/>
    </row>
    <row r="21" spans="2:64" ht="30" customHeight="1" x14ac:dyDescent="0.3">
      <c r="B21" s="199"/>
      <c r="C21" s="1048" t="s">
        <v>126</v>
      </c>
      <c r="D21" s="1048"/>
      <c r="E21" s="1048"/>
      <c r="F21" s="1048"/>
      <c r="G21" s="1048"/>
      <c r="H21" s="1048"/>
      <c r="I21" s="1048"/>
      <c r="J21" s="1048"/>
      <c r="K21" s="1048"/>
      <c r="L21" s="1049" t="s">
        <v>127</v>
      </c>
      <c r="M21" s="1050"/>
      <c r="N21" s="1050"/>
      <c r="O21" s="1050"/>
      <c r="P21" s="1050"/>
      <c r="Q21" s="1051"/>
      <c r="R21" s="1049" t="s">
        <v>128</v>
      </c>
      <c r="S21" s="1050"/>
      <c r="T21" s="1050"/>
      <c r="U21" s="1050"/>
      <c r="V21" s="1051"/>
      <c r="W21" s="1048" t="s">
        <v>129</v>
      </c>
      <c r="X21" s="1048"/>
      <c r="Y21" s="1048"/>
      <c r="Z21" s="1048"/>
      <c r="AA21" s="1048"/>
      <c r="AB21" s="1048"/>
      <c r="AC21" s="1048" t="s">
        <v>130</v>
      </c>
      <c r="AD21" s="1048"/>
      <c r="AE21" s="1048"/>
      <c r="AF21" s="1048"/>
      <c r="AG21" s="1048"/>
      <c r="AH21" s="1048"/>
      <c r="AI21" s="1052">
        <v>0.8</v>
      </c>
      <c r="AJ21" s="1053"/>
      <c r="AK21" s="1053"/>
      <c r="AL21" s="1053"/>
      <c r="AM21" s="1054"/>
      <c r="AN21" s="1052">
        <v>0.95</v>
      </c>
      <c r="AO21" s="1053"/>
      <c r="AP21" s="1053"/>
      <c r="AQ21" s="1054"/>
      <c r="AR21" s="1049" t="s">
        <v>131</v>
      </c>
      <c r="AS21" s="1050"/>
      <c r="AT21" s="1050"/>
      <c r="AU21" s="1051"/>
      <c r="AV21" s="1049" t="s">
        <v>132</v>
      </c>
      <c r="AW21" s="1050"/>
      <c r="AX21" s="1050"/>
      <c r="AY21" s="1051"/>
      <c r="AZ21" s="1049">
        <v>8</v>
      </c>
      <c r="BA21" s="1050"/>
      <c r="BB21" s="1050"/>
      <c r="BC21" s="1051"/>
      <c r="BD21" s="1055" t="s">
        <v>133</v>
      </c>
      <c r="BE21" s="1056"/>
      <c r="BF21" s="1056"/>
      <c r="BG21" s="1056"/>
      <c r="BH21" s="1056"/>
      <c r="BI21" s="1056"/>
      <c r="BJ21" s="1057"/>
      <c r="BK21" s="272"/>
      <c r="BL21" s="36"/>
    </row>
    <row r="22" spans="2:64" ht="30" customHeight="1" x14ac:dyDescent="0.3">
      <c r="B22" s="199"/>
      <c r="C22" s="1061"/>
      <c r="D22" s="1061"/>
      <c r="E22" s="1061"/>
      <c r="F22" s="1061"/>
      <c r="G22" s="1061"/>
      <c r="H22" s="1061"/>
      <c r="I22" s="1061"/>
      <c r="J22" s="1061"/>
      <c r="K22" s="1061"/>
      <c r="L22" s="1062"/>
      <c r="M22" s="1063"/>
      <c r="N22" s="1063"/>
      <c r="O22" s="1063"/>
      <c r="P22" s="1063"/>
      <c r="Q22" s="1064"/>
      <c r="R22" s="1065"/>
      <c r="S22" s="1066"/>
      <c r="T22" s="1066"/>
      <c r="U22" s="1066"/>
      <c r="V22" s="1067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1"/>
      <c r="AI22" s="1068"/>
      <c r="AJ22" s="1069"/>
      <c r="AK22" s="1069"/>
      <c r="AL22" s="1069"/>
      <c r="AM22" s="1070"/>
      <c r="AN22" s="1068"/>
      <c r="AO22" s="1069"/>
      <c r="AP22" s="1069"/>
      <c r="AQ22" s="1070"/>
      <c r="AR22" s="1065"/>
      <c r="AS22" s="1066"/>
      <c r="AT22" s="1066"/>
      <c r="AU22" s="1067"/>
      <c r="AV22" s="1065"/>
      <c r="AW22" s="1066"/>
      <c r="AX22" s="1066"/>
      <c r="AY22" s="1067"/>
      <c r="AZ22" s="1065"/>
      <c r="BA22" s="1066"/>
      <c r="BB22" s="1066"/>
      <c r="BC22" s="1067"/>
      <c r="BD22" s="1071"/>
      <c r="BE22" s="1072"/>
      <c r="BF22" s="1072"/>
      <c r="BG22" s="1072"/>
      <c r="BH22" s="1072"/>
      <c r="BI22" s="1072"/>
      <c r="BJ22" s="1073"/>
      <c r="BK22" s="272"/>
      <c r="BL22" s="36"/>
    </row>
    <row r="23" spans="2:64" ht="30" customHeight="1" x14ac:dyDescent="0.3">
      <c r="B23" s="199"/>
      <c r="C23" s="1061"/>
      <c r="D23" s="1061"/>
      <c r="E23" s="1061"/>
      <c r="F23" s="1061"/>
      <c r="G23" s="1061"/>
      <c r="H23" s="1061"/>
      <c r="I23" s="1061"/>
      <c r="J23" s="1061"/>
      <c r="K23" s="1061"/>
      <c r="L23" s="1062"/>
      <c r="M23" s="1063"/>
      <c r="N23" s="1063"/>
      <c r="O23" s="1063"/>
      <c r="P23" s="1063"/>
      <c r="Q23" s="1064"/>
      <c r="R23" s="1065"/>
      <c r="S23" s="1066"/>
      <c r="T23" s="1066"/>
      <c r="U23" s="1066"/>
      <c r="V23" s="1067"/>
      <c r="W23" s="1061"/>
      <c r="X23" s="1061"/>
      <c r="Y23" s="1061"/>
      <c r="Z23" s="1061"/>
      <c r="AA23" s="1061"/>
      <c r="AB23" s="1061"/>
      <c r="AC23" s="1061"/>
      <c r="AD23" s="1061"/>
      <c r="AE23" s="1061"/>
      <c r="AF23" s="1061"/>
      <c r="AG23" s="1061"/>
      <c r="AH23" s="1061"/>
      <c r="AI23" s="1068"/>
      <c r="AJ23" s="1069"/>
      <c r="AK23" s="1069"/>
      <c r="AL23" s="1069"/>
      <c r="AM23" s="1070"/>
      <c r="AN23" s="1068"/>
      <c r="AO23" s="1069"/>
      <c r="AP23" s="1069"/>
      <c r="AQ23" s="1070"/>
      <c r="AR23" s="1065"/>
      <c r="AS23" s="1066"/>
      <c r="AT23" s="1066"/>
      <c r="AU23" s="1067"/>
      <c r="AV23" s="1065"/>
      <c r="AW23" s="1066"/>
      <c r="AX23" s="1066"/>
      <c r="AY23" s="1067"/>
      <c r="AZ23" s="1065"/>
      <c r="BA23" s="1066"/>
      <c r="BB23" s="1066"/>
      <c r="BC23" s="1067"/>
      <c r="BD23" s="1071"/>
      <c r="BE23" s="1072"/>
      <c r="BF23" s="1072"/>
      <c r="BG23" s="1072"/>
      <c r="BH23" s="1072"/>
      <c r="BI23" s="1072"/>
      <c r="BJ23" s="1073"/>
      <c r="BK23" s="272"/>
      <c r="BL23" s="36"/>
    </row>
    <row r="24" spans="2:64" ht="30" customHeight="1" x14ac:dyDescent="0.3">
      <c r="B24" s="199"/>
      <c r="C24" s="1061"/>
      <c r="D24" s="1061"/>
      <c r="E24" s="1061"/>
      <c r="F24" s="1061"/>
      <c r="G24" s="1061"/>
      <c r="H24" s="1061"/>
      <c r="I24" s="1061"/>
      <c r="J24" s="1061"/>
      <c r="K24" s="1061"/>
      <c r="L24" s="1062"/>
      <c r="M24" s="1063"/>
      <c r="N24" s="1063"/>
      <c r="O24" s="1063"/>
      <c r="P24" s="1063"/>
      <c r="Q24" s="1064"/>
      <c r="R24" s="1065"/>
      <c r="S24" s="1066"/>
      <c r="T24" s="1066"/>
      <c r="U24" s="1066"/>
      <c r="V24" s="1067"/>
      <c r="W24" s="1061"/>
      <c r="X24" s="1061"/>
      <c r="Y24" s="1061"/>
      <c r="Z24" s="1061"/>
      <c r="AA24" s="1061"/>
      <c r="AB24" s="1061"/>
      <c r="AC24" s="1061"/>
      <c r="AD24" s="1061"/>
      <c r="AE24" s="1061"/>
      <c r="AF24" s="1061"/>
      <c r="AG24" s="1061"/>
      <c r="AH24" s="1061"/>
      <c r="AI24" s="1068"/>
      <c r="AJ24" s="1069"/>
      <c r="AK24" s="1069"/>
      <c r="AL24" s="1069"/>
      <c r="AM24" s="1070"/>
      <c r="AN24" s="1068"/>
      <c r="AO24" s="1069"/>
      <c r="AP24" s="1069"/>
      <c r="AQ24" s="1070"/>
      <c r="AR24" s="1065"/>
      <c r="AS24" s="1066"/>
      <c r="AT24" s="1066"/>
      <c r="AU24" s="1067"/>
      <c r="AV24" s="1065"/>
      <c r="AW24" s="1066"/>
      <c r="AX24" s="1066"/>
      <c r="AY24" s="1067"/>
      <c r="AZ24" s="1065"/>
      <c r="BA24" s="1066"/>
      <c r="BB24" s="1066"/>
      <c r="BC24" s="1067"/>
      <c r="BD24" s="1071"/>
      <c r="BE24" s="1072"/>
      <c r="BF24" s="1072"/>
      <c r="BG24" s="1072"/>
      <c r="BH24" s="1072"/>
      <c r="BI24" s="1072"/>
      <c r="BJ24" s="1073"/>
      <c r="BK24" s="272"/>
      <c r="BL24" s="36"/>
    </row>
    <row r="25" spans="2:64" ht="30" customHeight="1" x14ac:dyDescent="0.3">
      <c r="B25" s="199"/>
      <c r="C25" s="1061"/>
      <c r="D25" s="1061"/>
      <c r="E25" s="1061"/>
      <c r="F25" s="1061"/>
      <c r="G25" s="1061"/>
      <c r="H25" s="1061"/>
      <c r="I25" s="1061"/>
      <c r="J25" s="1061"/>
      <c r="K25" s="1061"/>
      <c r="L25" s="1062"/>
      <c r="M25" s="1063"/>
      <c r="N25" s="1063"/>
      <c r="O25" s="1063"/>
      <c r="P25" s="1063"/>
      <c r="Q25" s="1064"/>
      <c r="R25" s="1065"/>
      <c r="S25" s="1066"/>
      <c r="T25" s="1066"/>
      <c r="U25" s="1066"/>
      <c r="V25" s="1067"/>
      <c r="W25" s="1061"/>
      <c r="X25" s="1061"/>
      <c r="Y25" s="1061"/>
      <c r="Z25" s="1061"/>
      <c r="AA25" s="1061"/>
      <c r="AB25" s="1061"/>
      <c r="AC25" s="1061"/>
      <c r="AD25" s="1061"/>
      <c r="AE25" s="1061"/>
      <c r="AF25" s="1061"/>
      <c r="AG25" s="1061"/>
      <c r="AH25" s="1061"/>
      <c r="AI25" s="1068"/>
      <c r="AJ25" s="1069"/>
      <c r="AK25" s="1069"/>
      <c r="AL25" s="1069"/>
      <c r="AM25" s="1070"/>
      <c r="AN25" s="1068"/>
      <c r="AO25" s="1069"/>
      <c r="AP25" s="1069"/>
      <c r="AQ25" s="1070"/>
      <c r="AR25" s="1065"/>
      <c r="AS25" s="1066"/>
      <c r="AT25" s="1066"/>
      <c r="AU25" s="1067"/>
      <c r="AV25" s="1065"/>
      <c r="AW25" s="1066"/>
      <c r="AX25" s="1066"/>
      <c r="AY25" s="1067"/>
      <c r="AZ25" s="1065"/>
      <c r="BA25" s="1066"/>
      <c r="BB25" s="1066"/>
      <c r="BC25" s="1067"/>
      <c r="BD25" s="1071"/>
      <c r="BE25" s="1072"/>
      <c r="BF25" s="1072"/>
      <c r="BG25" s="1072"/>
      <c r="BH25" s="1072"/>
      <c r="BI25" s="1072"/>
      <c r="BJ25" s="1073"/>
      <c r="BK25" s="272"/>
      <c r="BL25" s="36"/>
    </row>
    <row r="26" spans="2:64" ht="30" customHeight="1" x14ac:dyDescent="0.3">
      <c r="B26" s="199"/>
      <c r="C26" s="1061"/>
      <c r="D26" s="1061"/>
      <c r="E26" s="1061"/>
      <c r="F26" s="1061"/>
      <c r="G26" s="1061"/>
      <c r="H26" s="1061"/>
      <c r="I26" s="1061"/>
      <c r="J26" s="1061"/>
      <c r="K26" s="1061"/>
      <c r="L26" s="1062"/>
      <c r="M26" s="1063"/>
      <c r="N26" s="1063"/>
      <c r="O26" s="1063"/>
      <c r="P26" s="1063"/>
      <c r="Q26" s="1064"/>
      <c r="R26" s="1065"/>
      <c r="S26" s="1066"/>
      <c r="T26" s="1066"/>
      <c r="U26" s="1066"/>
      <c r="V26" s="1067"/>
      <c r="W26" s="1061"/>
      <c r="X26" s="1061"/>
      <c r="Y26" s="1061"/>
      <c r="Z26" s="1061"/>
      <c r="AA26" s="1061"/>
      <c r="AB26" s="1061"/>
      <c r="AC26" s="1061"/>
      <c r="AD26" s="1061"/>
      <c r="AE26" s="1061"/>
      <c r="AF26" s="1061"/>
      <c r="AG26" s="1061"/>
      <c r="AH26" s="1061"/>
      <c r="AI26" s="1068"/>
      <c r="AJ26" s="1069"/>
      <c r="AK26" s="1069"/>
      <c r="AL26" s="1069"/>
      <c r="AM26" s="1070"/>
      <c r="AN26" s="1068"/>
      <c r="AO26" s="1069"/>
      <c r="AP26" s="1069"/>
      <c r="AQ26" s="1070"/>
      <c r="AR26" s="1065"/>
      <c r="AS26" s="1066"/>
      <c r="AT26" s="1066"/>
      <c r="AU26" s="1067"/>
      <c r="AV26" s="1065"/>
      <c r="AW26" s="1066"/>
      <c r="AX26" s="1066"/>
      <c r="AY26" s="1067"/>
      <c r="AZ26" s="1065"/>
      <c r="BA26" s="1066"/>
      <c r="BB26" s="1066"/>
      <c r="BC26" s="1067"/>
      <c r="BD26" s="1071"/>
      <c r="BE26" s="1072"/>
      <c r="BF26" s="1072"/>
      <c r="BG26" s="1072"/>
      <c r="BH26" s="1072"/>
      <c r="BI26" s="1072"/>
      <c r="BJ26" s="1073"/>
      <c r="BK26" s="272"/>
      <c r="BL26" s="36"/>
    </row>
    <row r="27" spans="2:64" ht="30" customHeight="1" x14ac:dyDescent="0.3">
      <c r="B27" s="199"/>
      <c r="C27" s="1061"/>
      <c r="D27" s="1061"/>
      <c r="E27" s="1061"/>
      <c r="F27" s="1061"/>
      <c r="G27" s="1061"/>
      <c r="H27" s="1061"/>
      <c r="I27" s="1061"/>
      <c r="J27" s="1061"/>
      <c r="K27" s="1061"/>
      <c r="L27" s="1062"/>
      <c r="M27" s="1063"/>
      <c r="N27" s="1063"/>
      <c r="O27" s="1063"/>
      <c r="P27" s="1063"/>
      <c r="Q27" s="1064"/>
      <c r="R27" s="1065"/>
      <c r="S27" s="1066"/>
      <c r="T27" s="1066"/>
      <c r="U27" s="1066"/>
      <c r="V27" s="1067"/>
      <c r="W27" s="1061"/>
      <c r="X27" s="1061"/>
      <c r="Y27" s="1061"/>
      <c r="Z27" s="1061"/>
      <c r="AA27" s="1061"/>
      <c r="AB27" s="1061"/>
      <c r="AC27" s="1061"/>
      <c r="AD27" s="1061"/>
      <c r="AE27" s="1061"/>
      <c r="AF27" s="1061"/>
      <c r="AG27" s="1061"/>
      <c r="AH27" s="1061"/>
      <c r="AI27" s="1068"/>
      <c r="AJ27" s="1069"/>
      <c r="AK27" s="1069"/>
      <c r="AL27" s="1069"/>
      <c r="AM27" s="1070"/>
      <c r="AN27" s="1068"/>
      <c r="AO27" s="1069"/>
      <c r="AP27" s="1069"/>
      <c r="AQ27" s="1070"/>
      <c r="AR27" s="1065"/>
      <c r="AS27" s="1066"/>
      <c r="AT27" s="1066"/>
      <c r="AU27" s="1067"/>
      <c r="AV27" s="1065"/>
      <c r="AW27" s="1066"/>
      <c r="AX27" s="1066"/>
      <c r="AY27" s="1067"/>
      <c r="AZ27" s="1065"/>
      <c r="BA27" s="1066"/>
      <c r="BB27" s="1066"/>
      <c r="BC27" s="1067"/>
      <c r="BD27" s="1071"/>
      <c r="BE27" s="1072"/>
      <c r="BF27" s="1072"/>
      <c r="BG27" s="1072"/>
      <c r="BH27" s="1072"/>
      <c r="BI27" s="1072"/>
      <c r="BJ27" s="1073"/>
      <c r="BK27" s="272"/>
      <c r="BL27" s="36"/>
    </row>
    <row r="28" spans="2:64" ht="30" customHeight="1" x14ac:dyDescent="0.3">
      <c r="B28" s="199"/>
      <c r="C28" s="1061"/>
      <c r="D28" s="1061"/>
      <c r="E28" s="1061"/>
      <c r="F28" s="1061"/>
      <c r="G28" s="1061"/>
      <c r="H28" s="1061"/>
      <c r="I28" s="1061"/>
      <c r="J28" s="1061"/>
      <c r="K28" s="1061"/>
      <c r="L28" s="1062"/>
      <c r="M28" s="1063"/>
      <c r="N28" s="1063"/>
      <c r="O28" s="1063"/>
      <c r="P28" s="1063"/>
      <c r="Q28" s="1064"/>
      <c r="R28" s="1065"/>
      <c r="S28" s="1066"/>
      <c r="T28" s="1066"/>
      <c r="U28" s="1066"/>
      <c r="V28" s="1067"/>
      <c r="W28" s="1061"/>
      <c r="X28" s="1061"/>
      <c r="Y28" s="1061"/>
      <c r="Z28" s="1061"/>
      <c r="AA28" s="1061"/>
      <c r="AB28" s="1061"/>
      <c r="AC28" s="1061"/>
      <c r="AD28" s="1061"/>
      <c r="AE28" s="1061"/>
      <c r="AF28" s="1061"/>
      <c r="AG28" s="1061"/>
      <c r="AH28" s="1061"/>
      <c r="AI28" s="1068"/>
      <c r="AJ28" s="1069"/>
      <c r="AK28" s="1069"/>
      <c r="AL28" s="1069"/>
      <c r="AM28" s="1070"/>
      <c r="AN28" s="1068"/>
      <c r="AO28" s="1069"/>
      <c r="AP28" s="1069"/>
      <c r="AQ28" s="1070"/>
      <c r="AR28" s="1065"/>
      <c r="AS28" s="1066"/>
      <c r="AT28" s="1066"/>
      <c r="AU28" s="1067"/>
      <c r="AV28" s="1065"/>
      <c r="AW28" s="1066"/>
      <c r="AX28" s="1066"/>
      <c r="AY28" s="1067"/>
      <c r="AZ28" s="1065"/>
      <c r="BA28" s="1066"/>
      <c r="BB28" s="1066"/>
      <c r="BC28" s="1067"/>
      <c r="BD28" s="1071"/>
      <c r="BE28" s="1072"/>
      <c r="BF28" s="1072"/>
      <c r="BG28" s="1072"/>
      <c r="BH28" s="1072"/>
      <c r="BI28" s="1072"/>
      <c r="BJ28" s="1073"/>
      <c r="BK28" s="272"/>
      <c r="BL28" s="36"/>
    </row>
    <row r="29" spans="2:64" ht="30" customHeight="1" x14ac:dyDescent="0.3">
      <c r="B29" s="199"/>
      <c r="C29" s="1061"/>
      <c r="D29" s="1061"/>
      <c r="E29" s="1061"/>
      <c r="F29" s="1061"/>
      <c r="G29" s="1061"/>
      <c r="H29" s="1061"/>
      <c r="I29" s="1061"/>
      <c r="J29" s="1061"/>
      <c r="K29" s="1061"/>
      <c r="L29" s="1062"/>
      <c r="M29" s="1063"/>
      <c r="N29" s="1063"/>
      <c r="O29" s="1063"/>
      <c r="P29" s="1063"/>
      <c r="Q29" s="1064"/>
      <c r="R29" s="1065"/>
      <c r="S29" s="1066"/>
      <c r="T29" s="1066"/>
      <c r="U29" s="1066"/>
      <c r="V29" s="1067"/>
      <c r="W29" s="1061"/>
      <c r="X29" s="1061"/>
      <c r="Y29" s="1061"/>
      <c r="Z29" s="1061"/>
      <c r="AA29" s="1061"/>
      <c r="AB29" s="1061"/>
      <c r="AC29" s="1061"/>
      <c r="AD29" s="1061"/>
      <c r="AE29" s="1061"/>
      <c r="AF29" s="1061"/>
      <c r="AG29" s="1061"/>
      <c r="AH29" s="1061"/>
      <c r="AI29" s="1068"/>
      <c r="AJ29" s="1069"/>
      <c r="AK29" s="1069"/>
      <c r="AL29" s="1069"/>
      <c r="AM29" s="1070"/>
      <c r="AN29" s="1068"/>
      <c r="AO29" s="1069"/>
      <c r="AP29" s="1069"/>
      <c r="AQ29" s="1070"/>
      <c r="AR29" s="1065"/>
      <c r="AS29" s="1066"/>
      <c r="AT29" s="1066"/>
      <c r="AU29" s="1067"/>
      <c r="AV29" s="1065"/>
      <c r="AW29" s="1066"/>
      <c r="AX29" s="1066"/>
      <c r="AY29" s="1067"/>
      <c r="AZ29" s="1065"/>
      <c r="BA29" s="1066"/>
      <c r="BB29" s="1066"/>
      <c r="BC29" s="1067"/>
      <c r="BD29" s="1071"/>
      <c r="BE29" s="1072"/>
      <c r="BF29" s="1072"/>
      <c r="BG29" s="1072"/>
      <c r="BH29" s="1072"/>
      <c r="BI29" s="1072"/>
      <c r="BJ29" s="1073"/>
      <c r="BK29" s="272"/>
      <c r="BL29" s="36"/>
    </row>
    <row r="30" spans="2:64" ht="30" customHeight="1" x14ac:dyDescent="0.3">
      <c r="B30" s="199"/>
      <c r="C30" s="1061"/>
      <c r="D30" s="1061"/>
      <c r="E30" s="1061"/>
      <c r="F30" s="1061"/>
      <c r="G30" s="1061"/>
      <c r="H30" s="1061"/>
      <c r="I30" s="1061"/>
      <c r="J30" s="1061"/>
      <c r="K30" s="1061"/>
      <c r="L30" s="1062"/>
      <c r="M30" s="1063"/>
      <c r="N30" s="1063"/>
      <c r="O30" s="1063"/>
      <c r="P30" s="1063"/>
      <c r="Q30" s="1064"/>
      <c r="R30" s="1065"/>
      <c r="S30" s="1066"/>
      <c r="T30" s="1066"/>
      <c r="U30" s="1066"/>
      <c r="V30" s="1067"/>
      <c r="W30" s="1061"/>
      <c r="X30" s="1061"/>
      <c r="Y30" s="1061"/>
      <c r="Z30" s="1061"/>
      <c r="AA30" s="1061"/>
      <c r="AB30" s="1061"/>
      <c r="AC30" s="1061"/>
      <c r="AD30" s="1061"/>
      <c r="AE30" s="1061"/>
      <c r="AF30" s="1061"/>
      <c r="AG30" s="1061"/>
      <c r="AH30" s="1061"/>
      <c r="AI30" s="1068"/>
      <c r="AJ30" s="1069"/>
      <c r="AK30" s="1069"/>
      <c r="AL30" s="1069"/>
      <c r="AM30" s="1070"/>
      <c r="AN30" s="1068"/>
      <c r="AO30" s="1069"/>
      <c r="AP30" s="1069"/>
      <c r="AQ30" s="1070"/>
      <c r="AR30" s="1065"/>
      <c r="AS30" s="1066"/>
      <c r="AT30" s="1066"/>
      <c r="AU30" s="1067"/>
      <c r="AV30" s="1065"/>
      <c r="AW30" s="1066"/>
      <c r="AX30" s="1066"/>
      <c r="AY30" s="1067"/>
      <c r="AZ30" s="1065"/>
      <c r="BA30" s="1066"/>
      <c r="BB30" s="1066"/>
      <c r="BC30" s="1067"/>
      <c r="BD30" s="1071"/>
      <c r="BE30" s="1072"/>
      <c r="BF30" s="1072"/>
      <c r="BG30" s="1072"/>
      <c r="BH30" s="1072"/>
      <c r="BI30" s="1072"/>
      <c r="BJ30" s="1073"/>
      <c r="BK30" s="272"/>
      <c r="BL30" s="36"/>
    </row>
    <row r="31" spans="2:64" ht="8.25" customHeight="1" x14ac:dyDescent="0.3">
      <c r="B31" s="199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172"/>
      <c r="BL31" s="36"/>
    </row>
    <row r="32" spans="2:64" ht="0.75" customHeight="1" x14ac:dyDescent="0.3">
      <c r="B32" s="199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172"/>
      <c r="BL32" s="36"/>
    </row>
    <row r="33" spans="2:64" ht="20.100000000000001" hidden="1" customHeight="1" x14ac:dyDescent="0.3">
      <c r="B33" s="199"/>
      <c r="C33" s="919" t="s">
        <v>134</v>
      </c>
      <c r="D33" s="920"/>
      <c r="E33" s="920"/>
      <c r="F33" s="920"/>
      <c r="G33" s="920"/>
      <c r="H33" s="920"/>
      <c r="I33" s="920"/>
      <c r="J33" s="920"/>
      <c r="K33" s="920"/>
      <c r="L33" s="920"/>
      <c r="M33" s="920"/>
      <c r="N33" s="920"/>
      <c r="O33" s="920"/>
      <c r="P33" s="920"/>
      <c r="Q33" s="921"/>
      <c r="R33" s="925" t="s">
        <v>135</v>
      </c>
      <c r="S33" s="926"/>
      <c r="T33" s="926"/>
      <c r="U33" s="926"/>
      <c r="V33" s="926"/>
      <c r="W33" s="926"/>
      <c r="X33" s="926"/>
      <c r="Y33" s="926"/>
      <c r="Z33" s="926"/>
      <c r="AA33" s="926"/>
      <c r="AB33" s="926"/>
      <c r="AC33" s="926"/>
      <c r="AD33" s="926"/>
      <c r="AE33" s="926"/>
      <c r="AF33" s="927"/>
      <c r="AG33" s="928">
        <f>H17</f>
        <v>0</v>
      </c>
      <c r="AH33" s="928"/>
      <c r="AI33" s="928"/>
      <c r="AJ33" s="928"/>
      <c r="AK33" s="928"/>
      <c r="AL33" s="929"/>
      <c r="AM33" s="930"/>
      <c r="AN33" s="930"/>
      <c r="AO33" s="930"/>
      <c r="AP33" s="930"/>
      <c r="AQ33" s="930"/>
      <c r="AR33" s="930"/>
      <c r="AS33" s="930"/>
      <c r="AT33" s="930"/>
      <c r="AU33" s="930"/>
      <c r="AV33" s="930"/>
      <c r="AW33" s="930"/>
      <c r="AX33" s="930"/>
      <c r="AY33" s="930"/>
      <c r="AZ33" s="930"/>
      <c r="BA33" s="930"/>
      <c r="BB33" s="930"/>
      <c r="BC33" s="930"/>
      <c r="BD33" s="930"/>
      <c r="BE33" s="930"/>
      <c r="BF33" s="930"/>
      <c r="BG33" s="930"/>
      <c r="BH33" s="930"/>
      <c r="BI33" s="930"/>
      <c r="BJ33" s="930"/>
      <c r="BK33" s="272"/>
      <c r="BL33" s="36"/>
    </row>
    <row r="34" spans="2:64" ht="21.9" hidden="1" customHeight="1" x14ac:dyDescent="0.3">
      <c r="B34" s="199"/>
      <c r="C34" s="922"/>
      <c r="D34" s="923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4"/>
      <c r="R34" s="925" t="s">
        <v>137</v>
      </c>
      <c r="S34" s="926"/>
      <c r="T34" s="926"/>
      <c r="U34" s="926"/>
      <c r="V34" s="926"/>
      <c r="W34" s="926"/>
      <c r="X34" s="926"/>
      <c r="Y34" s="926"/>
      <c r="Z34" s="926"/>
      <c r="AA34" s="926"/>
      <c r="AB34" s="926"/>
      <c r="AC34" s="926"/>
      <c r="AD34" s="926"/>
      <c r="AE34" s="926"/>
      <c r="AF34" s="927"/>
      <c r="AG34" s="929">
        <f>M17</f>
        <v>0</v>
      </c>
      <c r="AH34" s="930"/>
      <c r="AI34" s="930"/>
      <c r="AJ34" s="930"/>
      <c r="AK34" s="931"/>
      <c r="AL34" s="932"/>
      <c r="AM34" s="933"/>
      <c r="AN34" s="933"/>
      <c r="AO34" s="933"/>
      <c r="AP34" s="933"/>
      <c r="AQ34" s="933"/>
      <c r="AR34" s="933"/>
      <c r="AS34" s="933"/>
      <c r="AT34" s="933"/>
      <c r="AU34" s="933"/>
      <c r="AV34" s="933"/>
      <c r="AW34" s="933"/>
      <c r="AX34" s="933"/>
      <c r="AY34" s="933"/>
      <c r="AZ34" s="933"/>
      <c r="BA34" s="933"/>
      <c r="BB34" s="933"/>
      <c r="BC34" s="933"/>
      <c r="BD34" s="933"/>
      <c r="BE34" s="933"/>
      <c r="BF34" s="933"/>
      <c r="BG34" s="933"/>
      <c r="BH34" s="933"/>
      <c r="BI34" s="933"/>
      <c r="BJ34" s="933"/>
      <c r="BK34" s="272"/>
      <c r="BL34" s="36"/>
    </row>
    <row r="35" spans="2:64" ht="2.1" customHeight="1" x14ac:dyDescent="0.3">
      <c r="B35" s="199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172"/>
      <c r="BL35" s="36"/>
    </row>
    <row r="36" spans="2:64" ht="20.100000000000001" hidden="1" customHeight="1" x14ac:dyDescent="0.3">
      <c r="B36" s="199"/>
      <c r="C36" s="919" t="s">
        <v>138</v>
      </c>
      <c r="D36" s="920"/>
      <c r="E36" s="920"/>
      <c r="F36" s="920"/>
      <c r="G36" s="920"/>
      <c r="H36" s="920"/>
      <c r="I36" s="920"/>
      <c r="J36" s="920"/>
      <c r="K36" s="920"/>
      <c r="L36" s="920"/>
      <c r="M36" s="920"/>
      <c r="N36" s="920"/>
      <c r="O36" s="920"/>
      <c r="P36" s="920"/>
      <c r="Q36" s="921"/>
      <c r="R36" s="998" t="s">
        <v>139</v>
      </c>
      <c r="S36" s="999"/>
      <c r="T36" s="999"/>
      <c r="U36" s="999"/>
      <c r="V36" s="999"/>
      <c r="W36" s="999"/>
      <c r="X36" s="999"/>
      <c r="Y36" s="999"/>
      <c r="Z36" s="999"/>
      <c r="AA36" s="999"/>
      <c r="AB36" s="999"/>
      <c r="AC36" s="999"/>
      <c r="AD36" s="1000"/>
      <c r="AE36" s="1015"/>
      <c r="AF36" s="1016"/>
      <c r="AG36" s="1016"/>
      <c r="AH36" s="1016"/>
      <c r="AI36" s="1017"/>
      <c r="AJ36" s="1004" t="s">
        <v>140</v>
      </c>
      <c r="AK36" s="1005"/>
      <c r="AL36" s="1005"/>
      <c r="AM36" s="1005"/>
      <c r="AN36" s="1006"/>
      <c r="AO36" s="1018"/>
      <c r="AP36" s="1019"/>
      <c r="AQ36" s="1019"/>
      <c r="AR36" s="1020"/>
      <c r="AS36" s="995" t="s">
        <v>141</v>
      </c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7"/>
      <c r="BH36" s="982" t="s">
        <v>155</v>
      </c>
      <c r="BI36" s="983"/>
      <c r="BJ36" s="983"/>
      <c r="BK36" s="172"/>
      <c r="BL36" s="36"/>
    </row>
    <row r="37" spans="2:64" ht="20.100000000000001" hidden="1" customHeight="1" x14ac:dyDescent="0.3">
      <c r="B37" s="199"/>
      <c r="C37" s="1012"/>
      <c r="D37" s="1013"/>
      <c r="E37" s="1013"/>
      <c r="F37" s="1013"/>
      <c r="G37" s="1013"/>
      <c r="H37" s="1013"/>
      <c r="I37" s="1013"/>
      <c r="J37" s="1013"/>
      <c r="K37" s="1013"/>
      <c r="L37" s="1013"/>
      <c r="M37" s="1013"/>
      <c r="N37" s="1013"/>
      <c r="O37" s="1013"/>
      <c r="P37" s="1013"/>
      <c r="Q37" s="1014"/>
      <c r="R37" s="998" t="s">
        <v>143</v>
      </c>
      <c r="S37" s="999"/>
      <c r="T37" s="999"/>
      <c r="U37" s="999"/>
      <c r="V37" s="999"/>
      <c r="W37" s="999"/>
      <c r="X37" s="999"/>
      <c r="Y37" s="999"/>
      <c r="Z37" s="999"/>
      <c r="AA37" s="999"/>
      <c r="AB37" s="999"/>
      <c r="AC37" s="999"/>
      <c r="AD37" s="1000"/>
      <c r="AE37" s="1001">
        <f>H17</f>
        <v>0</v>
      </c>
      <c r="AF37" s="1002"/>
      <c r="AG37" s="1002"/>
      <c r="AH37" s="1002"/>
      <c r="AI37" s="1003"/>
      <c r="AJ37" s="1004" t="s">
        <v>144</v>
      </c>
      <c r="AK37" s="1005"/>
      <c r="AL37" s="1005"/>
      <c r="AM37" s="1005"/>
      <c r="AN37" s="1006"/>
      <c r="AO37" s="1007">
        <f>M17</f>
        <v>0</v>
      </c>
      <c r="AP37" s="1008"/>
      <c r="AQ37" s="1008"/>
      <c r="AR37" s="1009"/>
      <c r="AS37" s="1010"/>
      <c r="AT37" s="1011"/>
      <c r="AU37" s="1011"/>
      <c r="AV37" s="1011"/>
      <c r="AW37" s="1011"/>
      <c r="AX37" s="1011"/>
      <c r="AY37" s="1011"/>
      <c r="AZ37" s="1011"/>
      <c r="BA37" s="1011"/>
      <c r="BB37" s="1011"/>
      <c r="BC37" s="1011"/>
      <c r="BD37" s="1011"/>
      <c r="BE37" s="1011"/>
      <c r="BF37" s="1011"/>
      <c r="BG37" s="1011"/>
      <c r="BH37" s="1011"/>
      <c r="BI37" s="1011"/>
      <c r="BJ37" s="1011"/>
      <c r="BK37" s="172"/>
      <c r="BL37" s="36"/>
    </row>
    <row r="38" spans="2:64" ht="20.100000000000001" hidden="1" customHeight="1" x14ac:dyDescent="0.3">
      <c r="B38" s="199"/>
      <c r="C38" s="922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4"/>
      <c r="R38" s="998" t="s">
        <v>136</v>
      </c>
      <c r="S38" s="999"/>
      <c r="T38" s="999"/>
      <c r="U38" s="999"/>
      <c r="V38" s="999"/>
      <c r="W38" s="999"/>
      <c r="X38" s="999"/>
      <c r="Y38" s="999"/>
      <c r="Z38" s="999"/>
      <c r="AA38" s="999"/>
      <c r="AB38" s="999"/>
      <c r="AC38" s="999"/>
      <c r="AD38" s="999"/>
      <c r="AE38" s="999"/>
      <c r="AF38" s="999"/>
      <c r="AG38" s="999"/>
      <c r="AH38" s="999"/>
      <c r="AI38" s="999"/>
      <c r="AJ38" s="999"/>
      <c r="AK38" s="999"/>
      <c r="AL38" s="1000"/>
      <c r="AM38" s="929" t="str">
        <f>IF(BH36="Sim","De:",IF(OR(BH36="Não",BH36=""),"Atual:",""))</f>
        <v>Atual:</v>
      </c>
      <c r="AN38" s="930"/>
      <c r="AO38" s="931"/>
      <c r="AP38" s="1021" t="s">
        <v>808</v>
      </c>
      <c r="AQ38" s="1022"/>
      <c r="AR38" s="1022"/>
      <c r="AS38" s="1022"/>
      <c r="AT38" s="1022"/>
      <c r="AU38" s="1022"/>
      <c r="AV38" s="1022"/>
      <c r="AW38" s="1022"/>
      <c r="AX38" s="1023"/>
      <c r="AY38" s="979" t="str">
        <f>IF(BH36="Sim","Para:","")</f>
        <v/>
      </c>
      <c r="AZ38" s="980"/>
      <c r="BA38" s="981"/>
      <c r="BB38" s="982" t="s">
        <v>809</v>
      </c>
      <c r="BC38" s="983"/>
      <c r="BD38" s="983"/>
      <c r="BE38" s="983"/>
      <c r="BF38" s="983"/>
      <c r="BG38" s="983"/>
      <c r="BH38" s="983"/>
      <c r="BI38" s="983"/>
      <c r="BJ38" s="983"/>
      <c r="BK38" s="172"/>
      <c r="BL38" s="36"/>
    </row>
    <row r="39" spans="2:64" ht="2.1" customHeight="1" x14ac:dyDescent="0.3">
      <c r="B39" s="199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172"/>
      <c r="BL39" s="36"/>
    </row>
    <row r="40" spans="2:64" ht="20.100000000000001" customHeight="1" x14ac:dyDescent="0.3">
      <c r="B40" s="199"/>
      <c r="C40" s="989" t="s">
        <v>145</v>
      </c>
      <c r="D40" s="990"/>
      <c r="E40" s="990"/>
      <c r="F40" s="990"/>
      <c r="G40" s="990"/>
      <c r="H40" s="990"/>
      <c r="I40" s="990"/>
      <c r="J40" s="990"/>
      <c r="K40" s="990"/>
      <c r="L40" s="990"/>
      <c r="M40" s="990"/>
      <c r="N40" s="990"/>
      <c r="O40" s="990"/>
      <c r="P40" s="990"/>
      <c r="Q40" s="990"/>
      <c r="R40" s="990"/>
      <c r="S40" s="990"/>
      <c r="T40" s="990"/>
      <c r="U40" s="990"/>
      <c r="V40" s="990"/>
      <c r="W40" s="990"/>
      <c r="X40" s="990"/>
      <c r="Y40" s="990"/>
      <c r="Z40" s="990"/>
      <c r="AA40" s="990"/>
      <c r="AB40" s="990"/>
      <c r="AC40" s="990"/>
      <c r="AD40" s="991"/>
      <c r="AE40" s="992"/>
      <c r="AF40" s="993"/>
      <c r="AG40" s="994"/>
      <c r="AH40" s="138"/>
      <c r="AI40" s="775"/>
      <c r="AJ40" s="775"/>
      <c r="AK40" s="775"/>
      <c r="AL40" s="775"/>
      <c r="AM40" s="775"/>
      <c r="AN40" s="775"/>
      <c r="AO40" s="775"/>
      <c r="AP40" s="775"/>
      <c r="AQ40" s="775"/>
      <c r="AR40" s="775"/>
      <c r="AS40" s="775"/>
      <c r="AT40" s="775"/>
      <c r="AU40" s="775"/>
      <c r="AV40" s="775"/>
      <c r="AW40" s="775"/>
      <c r="AX40" s="775"/>
      <c r="AY40" s="775"/>
      <c r="AZ40" s="775"/>
      <c r="BA40" s="775"/>
      <c r="BB40" s="775"/>
      <c r="BC40" s="775"/>
      <c r="BD40" s="775"/>
      <c r="BE40" s="775"/>
      <c r="BF40" s="775"/>
      <c r="BG40" s="775"/>
      <c r="BH40" s="775"/>
      <c r="BI40" s="775"/>
      <c r="BJ40" s="775"/>
      <c r="BK40" s="172"/>
      <c r="BL40" s="36"/>
    </row>
    <row r="41" spans="2:64" ht="6.9" customHeight="1" x14ac:dyDescent="0.3">
      <c r="B41" s="199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172"/>
      <c r="BL41" s="36"/>
    </row>
    <row r="42" spans="2:64" ht="34.5" customHeight="1" x14ac:dyDescent="0.3">
      <c r="B42" s="199"/>
      <c r="C42" s="1026" t="str">
        <f>IF(AND(AE40="Sim",OR(AG33&gt;112.5,AE37&gt;112.5,AE36&gt;112.5)),"Conforme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1027"/>
      <c r="P42" s="1027"/>
      <c r="Q42" s="1027"/>
      <c r="R42" s="1027"/>
      <c r="S42" s="1027"/>
      <c r="T42" s="1027"/>
      <c r="U42" s="1027"/>
      <c r="V42" s="1027"/>
      <c r="W42" s="1027"/>
      <c r="X42" s="1027"/>
      <c r="Y42" s="1027"/>
      <c r="Z42" s="1027"/>
      <c r="AA42" s="1027"/>
      <c r="AB42" s="1027"/>
      <c r="AC42" s="1027"/>
      <c r="AD42" s="1027"/>
      <c r="AE42" s="1027"/>
      <c r="AF42" s="1027"/>
      <c r="AG42" s="1027"/>
      <c r="AH42" s="1027"/>
      <c r="AI42" s="1027"/>
      <c r="AJ42" s="1027"/>
      <c r="AK42" s="1027"/>
      <c r="AL42" s="1027"/>
      <c r="AM42" s="1027"/>
      <c r="AN42" s="1027"/>
      <c r="AO42" s="1027"/>
      <c r="AP42" s="1027"/>
      <c r="AQ42" s="1027"/>
      <c r="AR42" s="1027"/>
      <c r="AS42" s="1027"/>
      <c r="AT42" s="1027"/>
      <c r="AU42" s="1027"/>
      <c r="AV42" s="1027"/>
      <c r="AW42" s="1027"/>
      <c r="AX42" s="1027"/>
      <c r="AY42" s="1027"/>
      <c r="AZ42" s="1027"/>
      <c r="BA42" s="1027"/>
      <c r="BB42" s="1027"/>
      <c r="BC42" s="1027"/>
      <c r="BD42" s="1027"/>
      <c r="BE42" s="1027"/>
      <c r="BF42" s="1027"/>
      <c r="BG42" s="1027"/>
      <c r="BH42" s="1027"/>
      <c r="BI42" s="1027"/>
      <c r="BJ42" s="1027"/>
      <c r="BK42" s="272"/>
      <c r="BL42" s="36"/>
    </row>
    <row r="43" spans="2:64" ht="6.9" customHeight="1" x14ac:dyDescent="0.3">
      <c r="B43" s="199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172"/>
      <c r="BL43" s="36"/>
    </row>
    <row r="44" spans="2:64" ht="20.100000000000001" customHeight="1" x14ac:dyDescent="0.3">
      <c r="B44" s="199"/>
      <c r="C44" s="1028" t="s">
        <v>146</v>
      </c>
      <c r="D44" s="1028"/>
      <c r="E44" s="1028"/>
      <c r="F44" s="1028"/>
      <c r="G44" s="1028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986"/>
      <c r="AB44" s="986"/>
      <c r="AC44" s="986"/>
      <c r="AD44" s="986"/>
      <c r="AE44" s="986"/>
      <c r="AF44" s="979" t="s">
        <v>147</v>
      </c>
      <c r="AG44" s="980"/>
      <c r="AH44" s="980"/>
      <c r="AI44" s="980"/>
      <c r="AJ44" s="980"/>
      <c r="AK44" s="980"/>
      <c r="AL44" s="980"/>
      <c r="AM44" s="980"/>
      <c r="AN44" s="980"/>
      <c r="AO44" s="980"/>
      <c r="AP44" s="980"/>
      <c r="AQ44" s="981"/>
      <c r="AR44" s="986"/>
      <c r="AS44" s="986"/>
      <c r="AT44" s="986"/>
      <c r="AU44" s="987"/>
      <c r="AV44" s="988"/>
      <c r="AW44" s="988"/>
      <c r="AX44" s="988"/>
      <c r="AY44" s="988"/>
      <c r="AZ44" s="988"/>
      <c r="BA44" s="988"/>
      <c r="BB44" s="988"/>
      <c r="BC44" s="988"/>
      <c r="BD44" s="988"/>
      <c r="BE44" s="988"/>
      <c r="BF44" s="988"/>
      <c r="BG44" s="988"/>
      <c r="BH44" s="988"/>
      <c r="BI44" s="988"/>
      <c r="BJ44" s="988"/>
      <c r="BK44" s="272"/>
      <c r="BL44" s="36"/>
    </row>
    <row r="45" spans="2:64" ht="3.9" customHeight="1" x14ac:dyDescent="0.3">
      <c r="B45" s="199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172"/>
      <c r="BL45" s="36"/>
    </row>
    <row r="46" spans="2:64" ht="20.100000000000001" customHeight="1" x14ac:dyDescent="0.3">
      <c r="B46" s="199"/>
      <c r="C46" s="944" t="s">
        <v>148</v>
      </c>
      <c r="D46" s="945"/>
      <c r="E46" s="945"/>
      <c r="F46" s="945"/>
      <c r="G46" s="945"/>
      <c r="H46" s="945"/>
      <c r="I46" s="945"/>
      <c r="J46" s="945"/>
      <c r="K46" s="945"/>
      <c r="L46" s="945"/>
      <c r="M46" s="945"/>
      <c r="N46" s="945"/>
      <c r="O46" s="945"/>
      <c r="P46" s="946"/>
      <c r="Q46" s="259"/>
      <c r="R46" s="925" t="str">
        <f>IF(AA44="Verde","Demanda em kw*:","Demanda Ponta:*")</f>
        <v>Demanda Ponta:*</v>
      </c>
      <c r="S46" s="926"/>
      <c r="T46" s="926"/>
      <c r="U46" s="926"/>
      <c r="V46" s="926"/>
      <c r="W46" s="926"/>
      <c r="X46" s="926"/>
      <c r="Y46" s="926"/>
      <c r="Z46" s="926"/>
      <c r="AA46" s="926"/>
      <c r="AB46" s="926"/>
      <c r="AC46" s="926"/>
      <c r="AD46" s="927"/>
      <c r="AE46" s="36"/>
      <c r="AF46" s="934"/>
      <c r="AG46" s="934"/>
      <c r="AH46" s="934"/>
      <c r="AI46" s="934"/>
      <c r="AJ46" s="36"/>
      <c r="AK46" s="935"/>
      <c r="AL46" s="935"/>
      <c r="AM46" s="935"/>
      <c r="AN46" s="935"/>
      <c r="AO46" s="935"/>
      <c r="AP46" s="935"/>
      <c r="AQ46" s="935"/>
      <c r="AR46" s="935"/>
      <c r="AS46" s="141"/>
      <c r="AT46" s="936"/>
      <c r="AU46" s="936"/>
      <c r="AV46" s="936"/>
      <c r="AW46" s="936"/>
      <c r="AX46" s="36"/>
      <c r="AY46" s="937"/>
      <c r="AZ46" s="937"/>
      <c r="BA46" s="937"/>
      <c r="BB46" s="937"/>
      <c r="BC46" s="937"/>
      <c r="BD46" s="937"/>
      <c r="BE46" s="937"/>
      <c r="BF46" s="937"/>
      <c r="BG46" s="937"/>
      <c r="BH46" s="937"/>
      <c r="BI46" s="937"/>
      <c r="BJ46" s="937"/>
      <c r="BK46" s="172"/>
      <c r="BL46" s="36"/>
    </row>
    <row r="47" spans="2:64" ht="15.6" x14ac:dyDescent="0.3">
      <c r="B47" s="199"/>
      <c r="C47" s="947"/>
      <c r="D47" s="948"/>
      <c r="E47" s="948"/>
      <c r="F47" s="948"/>
      <c r="G47" s="948"/>
      <c r="H47" s="948"/>
      <c r="I47" s="948"/>
      <c r="J47" s="948"/>
      <c r="K47" s="948"/>
      <c r="L47" s="948"/>
      <c r="M47" s="948"/>
      <c r="N47" s="948"/>
      <c r="O47" s="948"/>
      <c r="P47" s="949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140"/>
      <c r="AY47" s="937"/>
      <c r="AZ47" s="937"/>
      <c r="BA47" s="937"/>
      <c r="BB47" s="937"/>
      <c r="BC47" s="937"/>
      <c r="BD47" s="937"/>
      <c r="BE47" s="937"/>
      <c r="BF47" s="937"/>
      <c r="BG47" s="937"/>
      <c r="BH47" s="937"/>
      <c r="BI47" s="937"/>
      <c r="BJ47" s="937"/>
      <c r="BK47" s="172"/>
      <c r="BL47" s="36"/>
    </row>
    <row r="48" spans="2:64" ht="20.100000000000001" customHeight="1" x14ac:dyDescent="0.3">
      <c r="B48" s="199"/>
      <c r="C48" s="950"/>
      <c r="D48" s="951"/>
      <c r="E48" s="951"/>
      <c r="F48" s="951"/>
      <c r="G48" s="951"/>
      <c r="H48" s="951"/>
      <c r="I48" s="951"/>
      <c r="J48" s="951"/>
      <c r="K48" s="951"/>
      <c r="L48" s="951"/>
      <c r="M48" s="951"/>
      <c r="N48" s="951"/>
      <c r="O48" s="951"/>
      <c r="P48" s="952"/>
      <c r="Q48" s="138"/>
      <c r="R48" s="938" t="str">
        <f>IF(AA44="Verde","","Demanda Fora Ponta:*")</f>
        <v>Demanda Fora Ponta:*</v>
      </c>
      <c r="S48" s="939"/>
      <c r="T48" s="939"/>
      <c r="U48" s="939"/>
      <c r="V48" s="939"/>
      <c r="W48" s="939"/>
      <c r="X48" s="939"/>
      <c r="Y48" s="939"/>
      <c r="Z48" s="939"/>
      <c r="AA48" s="939"/>
      <c r="AB48" s="939"/>
      <c r="AC48" s="939"/>
      <c r="AD48" s="940"/>
      <c r="AE48" s="36"/>
      <c r="AF48" s="941"/>
      <c r="AG48" s="942"/>
      <c r="AH48" s="942"/>
      <c r="AI48" s="943"/>
      <c r="AJ48" s="36"/>
      <c r="AK48" s="1024"/>
      <c r="AL48" s="1024"/>
      <c r="AM48" s="1024"/>
      <c r="AN48" s="1024"/>
      <c r="AO48" s="1024"/>
      <c r="AP48" s="1024"/>
      <c r="AQ48" s="1024"/>
      <c r="AR48" s="1024"/>
      <c r="AS48" s="141"/>
      <c r="AT48" s="936"/>
      <c r="AU48" s="936"/>
      <c r="AV48" s="936"/>
      <c r="AW48" s="936"/>
      <c r="AX48" s="140"/>
      <c r="AY48" s="937"/>
      <c r="AZ48" s="937"/>
      <c r="BA48" s="937"/>
      <c r="BB48" s="937"/>
      <c r="BC48" s="937"/>
      <c r="BD48" s="937"/>
      <c r="BE48" s="937"/>
      <c r="BF48" s="937"/>
      <c r="BG48" s="937"/>
      <c r="BH48" s="937"/>
      <c r="BI48" s="937"/>
      <c r="BJ48" s="937"/>
      <c r="BK48" s="172"/>
      <c r="BL48" s="36"/>
    </row>
    <row r="49" spans="2:64" ht="3.9" customHeight="1" x14ac:dyDescent="0.3">
      <c r="B49" s="199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172"/>
      <c r="BL49" s="36"/>
    </row>
    <row r="50" spans="2:64" ht="20.100000000000001" customHeight="1" x14ac:dyDescent="0.3">
      <c r="B50" s="199"/>
      <c r="C50" s="1025" t="s">
        <v>149</v>
      </c>
      <c r="D50" s="988"/>
      <c r="E50" s="988"/>
      <c r="F50" s="988"/>
      <c r="G50" s="988"/>
      <c r="H50" s="988"/>
      <c r="I50" s="988"/>
      <c r="J50" s="988"/>
      <c r="K50" s="988"/>
      <c r="L50" s="988"/>
      <c r="M50" s="988"/>
      <c r="N50" s="988"/>
      <c r="O50" s="988"/>
      <c r="P50" s="988"/>
      <c r="Q50" s="988"/>
      <c r="R50" s="988"/>
      <c r="S50" s="988"/>
      <c r="T50" s="988"/>
      <c r="U50" s="988"/>
      <c r="V50" s="988"/>
      <c r="W50" s="988"/>
      <c r="X50" s="988"/>
      <c r="Y50" s="988"/>
      <c r="Z50" s="988"/>
      <c r="AA50" s="988"/>
      <c r="AB50" s="988"/>
      <c r="AC50" s="988"/>
      <c r="AD50" s="988"/>
      <c r="AE50" s="988"/>
      <c r="AF50" s="988"/>
      <c r="AG50" s="988"/>
      <c r="AH50" s="988"/>
      <c r="AI50" s="988"/>
      <c r="AJ50" s="988"/>
      <c r="AK50" s="988"/>
      <c r="AL50" s="988"/>
      <c r="AM50" s="988"/>
      <c r="AN50" s="988"/>
      <c r="AO50" s="988"/>
      <c r="AP50" s="988"/>
      <c r="AQ50" s="988"/>
      <c r="AR50" s="988"/>
      <c r="AS50" s="988"/>
      <c r="AT50" s="988"/>
      <c r="AU50" s="988"/>
      <c r="AV50" s="988"/>
      <c r="AW50" s="988"/>
      <c r="AX50" s="988"/>
      <c r="AY50" s="988"/>
      <c r="AZ50" s="988"/>
      <c r="BA50" s="988"/>
      <c r="BB50" s="988"/>
      <c r="BC50" s="988"/>
      <c r="BD50" s="988"/>
      <c r="BE50" s="988"/>
      <c r="BF50" s="988"/>
      <c r="BG50" s="988"/>
      <c r="BH50" s="988"/>
      <c r="BI50" s="988"/>
      <c r="BJ50" s="988"/>
      <c r="BK50" s="272"/>
      <c r="BL50" s="36"/>
    </row>
    <row r="51" spans="2:64" ht="20.100000000000001" customHeight="1" x14ac:dyDescent="0.3">
      <c r="B51" s="199"/>
      <c r="C51" s="917" t="str" cm="1">
        <f t="array" ref="C51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51" s="917"/>
      <c r="E51" s="917"/>
      <c r="F51" s="917"/>
      <c r="G51" s="917"/>
      <c r="H51" s="917"/>
      <c r="I51" s="917"/>
      <c r="J51" s="917"/>
      <c r="K51" s="917"/>
      <c r="L51" s="917"/>
      <c r="M51" s="917"/>
      <c r="N51" s="917"/>
      <c r="O51" s="917"/>
      <c r="P51" s="917"/>
      <c r="Q51" s="972"/>
      <c r="R51" s="917" t="str">
        <f>IF(AND(AR44="Sim",AA44="Azul"),"Demanda ponta?:","")</f>
        <v/>
      </c>
      <c r="S51" s="917"/>
      <c r="T51" s="917"/>
      <c r="U51" s="917"/>
      <c r="V51" s="917"/>
      <c r="W51" s="917"/>
      <c r="X51" s="917"/>
      <c r="Y51" s="918"/>
      <c r="Z51" s="918"/>
      <c r="AA51" s="918"/>
      <c r="AB51" s="918"/>
      <c r="AC51" s="918"/>
      <c r="AD51" s="918"/>
      <c r="AE51" s="918"/>
      <c r="AF51" s="953" t="str">
        <f>IF(AND(AR44="Sim",AA44="Azul"),"Demanda fora de ponta?:","")</f>
        <v/>
      </c>
      <c r="AG51" s="954"/>
      <c r="AH51" s="954"/>
      <c r="AI51" s="954"/>
      <c r="AJ51" s="954"/>
      <c r="AK51" s="954"/>
      <c r="AL51" s="954"/>
      <c r="AM51" s="954"/>
      <c r="AN51" s="954"/>
      <c r="AO51" s="955"/>
      <c r="AP51" s="956"/>
      <c r="AQ51" s="957"/>
      <c r="AR51" s="957"/>
      <c r="AS51" s="957"/>
      <c r="AT51" s="957"/>
      <c r="AU51" s="957"/>
      <c r="AV51" s="958"/>
      <c r="AW51" s="959" t="str">
        <f>IF(AR44="Sim","Início de Uso:*","")</f>
        <v/>
      </c>
      <c r="AX51" s="959"/>
      <c r="AY51" s="959"/>
      <c r="AZ51" s="959"/>
      <c r="BA51" s="959"/>
      <c r="BB51" s="959"/>
      <c r="BC51" s="960"/>
      <c r="BD51" s="960"/>
      <c r="BE51" s="960"/>
      <c r="BF51" s="960"/>
      <c r="BG51" s="960"/>
      <c r="BH51" s="960"/>
      <c r="BI51" s="960"/>
      <c r="BJ51" s="961"/>
      <c r="BK51" s="272"/>
      <c r="BL51" s="36"/>
    </row>
    <row r="52" spans="2:64" ht="20.100000000000001" customHeight="1" x14ac:dyDescent="0.3">
      <c r="B52" s="199"/>
      <c r="C52" s="917" t="str" cm="1">
        <f t="array" ref="C52">_xlfn.IFS(AND('Formulário MT'!$AD$34&lt;&gt;"Conexão Nova",AR44="Sim"),"Demanda contratada futura KW:**",AND('Formulário MT'!$AD$34="Conexão Nova",AR44="Sim"),"Demanda contratada KW:*",TRUE,"demanda escalonada")</f>
        <v>demanda escalonada</v>
      </c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917"/>
      <c r="O52" s="917"/>
      <c r="P52" s="917"/>
      <c r="Q52" s="972"/>
      <c r="R52" s="917" t="str">
        <f>IF(AND(AR44="Sim",AA44="Azul"),"Demanda ponta?:","")</f>
        <v/>
      </c>
      <c r="S52" s="917"/>
      <c r="T52" s="917"/>
      <c r="U52" s="917"/>
      <c r="V52" s="917"/>
      <c r="W52" s="917"/>
      <c r="X52" s="917"/>
      <c r="Y52" s="918"/>
      <c r="Z52" s="918"/>
      <c r="AA52" s="918"/>
      <c r="AB52" s="918"/>
      <c r="AC52" s="918"/>
      <c r="AD52" s="918"/>
      <c r="AE52" s="918"/>
      <c r="AF52" s="953" t="str">
        <f>IF(AND(AR44="Sim",AA44="Azul"),"Demanda fora de ponta?:","")</f>
        <v/>
      </c>
      <c r="AG52" s="954"/>
      <c r="AH52" s="954"/>
      <c r="AI52" s="954"/>
      <c r="AJ52" s="954"/>
      <c r="AK52" s="954"/>
      <c r="AL52" s="954"/>
      <c r="AM52" s="954"/>
      <c r="AN52" s="954"/>
      <c r="AO52" s="955"/>
      <c r="AP52" s="956"/>
      <c r="AQ52" s="957"/>
      <c r="AR52" s="957"/>
      <c r="AS52" s="957"/>
      <c r="AT52" s="957"/>
      <c r="AU52" s="957"/>
      <c r="AV52" s="958"/>
      <c r="AW52" s="959" t="str">
        <f>IF(AR44="Sim","Início de Uso:*","")</f>
        <v/>
      </c>
      <c r="AX52" s="959"/>
      <c r="AY52" s="959"/>
      <c r="AZ52" s="959"/>
      <c r="BA52" s="959"/>
      <c r="BB52" s="959"/>
      <c r="BC52" s="960"/>
      <c r="BD52" s="960"/>
      <c r="BE52" s="960"/>
      <c r="BF52" s="960"/>
      <c r="BG52" s="960"/>
      <c r="BH52" s="960"/>
      <c r="BI52" s="960"/>
      <c r="BJ52" s="961"/>
      <c r="BK52" s="272"/>
      <c r="BL52" s="36"/>
    </row>
    <row r="53" spans="2:64" ht="20.100000000000001" customHeight="1" x14ac:dyDescent="0.3">
      <c r="B53" s="199"/>
      <c r="C53" s="917" t="str" cm="1">
        <f t="array" ref="C53">_xlfn.IFS(AND('Formulário MT'!$AD$34&lt;&gt;"Conexão Nova",AR44="Sim"),"Demanda contratada futura KW:**",AND('Formulário MT'!$AD$34="Conexão Nova",AR44="Sim"),"Demanda contratada KW:*",TRUE,"")</f>
        <v/>
      </c>
      <c r="D53" s="917"/>
      <c r="E53" s="917"/>
      <c r="F53" s="917"/>
      <c r="G53" s="917"/>
      <c r="H53" s="917"/>
      <c r="I53" s="917"/>
      <c r="J53" s="917"/>
      <c r="K53" s="917"/>
      <c r="L53" s="917"/>
      <c r="M53" s="917"/>
      <c r="N53" s="917"/>
      <c r="O53" s="917"/>
      <c r="P53" s="917"/>
      <c r="Q53" s="972"/>
      <c r="R53" s="917" t="str">
        <f>IF(AND(AR44="Sim",AA44="Azul"),"Demanda ponta?:","")</f>
        <v/>
      </c>
      <c r="S53" s="917"/>
      <c r="T53" s="917"/>
      <c r="U53" s="917"/>
      <c r="V53" s="917"/>
      <c r="W53" s="917"/>
      <c r="X53" s="917"/>
      <c r="Y53" s="918"/>
      <c r="Z53" s="918"/>
      <c r="AA53" s="918"/>
      <c r="AB53" s="918"/>
      <c r="AC53" s="918"/>
      <c r="AD53" s="918"/>
      <c r="AE53" s="918"/>
      <c r="AF53" s="953" t="str">
        <f>IF(AND(AR44="Sim",AA44="Azul"),"Demanda fora de ponta?:","")</f>
        <v/>
      </c>
      <c r="AG53" s="954"/>
      <c r="AH53" s="954"/>
      <c r="AI53" s="954"/>
      <c r="AJ53" s="954"/>
      <c r="AK53" s="954"/>
      <c r="AL53" s="954"/>
      <c r="AM53" s="954"/>
      <c r="AN53" s="954"/>
      <c r="AO53" s="955"/>
      <c r="AP53" s="956"/>
      <c r="AQ53" s="957"/>
      <c r="AR53" s="957"/>
      <c r="AS53" s="957"/>
      <c r="AT53" s="957"/>
      <c r="AU53" s="957"/>
      <c r="AV53" s="958"/>
      <c r="AW53" s="959" t="str">
        <f>IF(AR44="Sim","Início de Uso:*","")</f>
        <v/>
      </c>
      <c r="AX53" s="959"/>
      <c r="AY53" s="959"/>
      <c r="AZ53" s="959"/>
      <c r="BA53" s="959"/>
      <c r="BB53" s="959"/>
      <c r="BC53" s="960"/>
      <c r="BD53" s="960"/>
      <c r="BE53" s="960"/>
      <c r="BF53" s="960"/>
      <c r="BG53" s="960"/>
      <c r="BH53" s="960"/>
      <c r="BI53" s="960"/>
      <c r="BJ53" s="961"/>
      <c r="BK53" s="272"/>
      <c r="BL53" s="36"/>
    </row>
    <row r="54" spans="2:64" ht="20.100000000000001" customHeight="1" x14ac:dyDescent="0.3">
      <c r="B54" s="199"/>
      <c r="C54" s="917" t="str" cm="1">
        <f t="array" ref="C54">_xlfn.IFS(AND('Formulário MT'!$AD$34&lt;&gt;"Conexão Nova",AR44="Sim"),"Demanda contratada futura KW:**",AND('Formulário MT'!$AD$34="Conexão Nova",AR44="Sim"),"Demanda contratada KW:*",TRUE,"")</f>
        <v/>
      </c>
      <c r="D54" s="917"/>
      <c r="E54" s="917"/>
      <c r="F54" s="917"/>
      <c r="G54" s="917"/>
      <c r="H54" s="917"/>
      <c r="I54" s="917"/>
      <c r="J54" s="917"/>
      <c r="K54" s="917"/>
      <c r="L54" s="917"/>
      <c r="M54" s="917"/>
      <c r="N54" s="917"/>
      <c r="O54" s="917"/>
      <c r="P54" s="917"/>
      <c r="Q54" s="972"/>
      <c r="R54" s="917" t="str">
        <f>IF(AND(AR44="Sim",AA44="Azul"),"Demanda ponta?:","")</f>
        <v/>
      </c>
      <c r="S54" s="917"/>
      <c r="T54" s="917"/>
      <c r="U54" s="917"/>
      <c r="V54" s="917"/>
      <c r="W54" s="917"/>
      <c r="X54" s="917"/>
      <c r="Y54" s="918"/>
      <c r="Z54" s="918"/>
      <c r="AA54" s="918"/>
      <c r="AB54" s="918"/>
      <c r="AC54" s="918"/>
      <c r="AD54" s="918"/>
      <c r="AE54" s="918"/>
      <c r="AF54" s="973" t="str">
        <f>IF(AND(AR44="Sim",AA44="Azul"),"Demanda fora de ponta?:","")</f>
        <v/>
      </c>
      <c r="AG54" s="973"/>
      <c r="AH54" s="973"/>
      <c r="AI54" s="973"/>
      <c r="AJ54" s="973"/>
      <c r="AK54" s="973"/>
      <c r="AL54" s="973"/>
      <c r="AM54" s="973"/>
      <c r="AN54" s="973"/>
      <c r="AO54" s="973"/>
      <c r="AP54" s="956"/>
      <c r="AQ54" s="957"/>
      <c r="AR54" s="957"/>
      <c r="AS54" s="957"/>
      <c r="AT54" s="957"/>
      <c r="AU54" s="957"/>
      <c r="AV54" s="958"/>
      <c r="AW54" s="959" t="str">
        <f>IF(AR44="Sim","Início de Uso:*","")</f>
        <v/>
      </c>
      <c r="AX54" s="959"/>
      <c r="AY54" s="959"/>
      <c r="AZ54" s="959"/>
      <c r="BA54" s="959"/>
      <c r="BB54" s="959"/>
      <c r="BC54" s="960"/>
      <c r="BD54" s="960"/>
      <c r="BE54" s="960"/>
      <c r="BF54" s="960"/>
      <c r="BG54" s="960"/>
      <c r="BH54" s="960"/>
      <c r="BI54" s="960"/>
      <c r="BJ54" s="961"/>
      <c r="BK54" s="272"/>
      <c r="BL54" s="36"/>
    </row>
    <row r="55" spans="2:64" ht="3.9" customHeight="1" x14ac:dyDescent="0.3">
      <c r="B55" s="199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172"/>
      <c r="BL55" s="36"/>
    </row>
    <row r="56" spans="2:64" ht="27" hidden="1" customHeight="1" x14ac:dyDescent="0.3">
      <c r="B56" s="199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100"/>
      <c r="AP56" s="100"/>
      <c r="AQ56" s="100"/>
      <c r="AR56" s="100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172"/>
      <c r="BL56" s="36"/>
    </row>
    <row r="57" spans="2:64" ht="20.100000000000001" customHeight="1" x14ac:dyDescent="0.3">
      <c r="B57" s="199"/>
      <c r="C57" s="962" t="s">
        <v>152</v>
      </c>
      <c r="D57" s="963"/>
      <c r="E57" s="963"/>
      <c r="F57" s="963"/>
      <c r="G57" s="963"/>
      <c r="H57" s="963"/>
      <c r="I57" s="963"/>
      <c r="J57" s="963"/>
      <c r="K57" s="963"/>
      <c r="L57" s="963"/>
      <c r="M57" s="963"/>
      <c r="N57" s="963"/>
      <c r="O57" s="963"/>
      <c r="P57" s="963"/>
      <c r="Q57" s="963"/>
      <c r="R57" s="963"/>
      <c r="S57" s="963"/>
      <c r="T57" s="963"/>
      <c r="U57" s="963"/>
      <c r="V57" s="963"/>
      <c r="W57" s="963"/>
      <c r="X57" s="963"/>
      <c r="Y57" s="963"/>
      <c r="Z57" s="963"/>
      <c r="AA57" s="963"/>
      <c r="AB57" s="963"/>
      <c r="AC57" s="963"/>
      <c r="AD57" s="963"/>
      <c r="AE57" s="963"/>
      <c r="AF57" s="963"/>
      <c r="AG57" s="963"/>
      <c r="AH57" s="963"/>
      <c r="AI57" s="963"/>
      <c r="AJ57" s="963"/>
      <c r="AK57" s="964"/>
      <c r="AL57" s="965"/>
      <c r="AM57" s="966"/>
      <c r="AN57" s="967"/>
      <c r="AO57" s="968" t="str">
        <f>IF(AL57="Sim","Informar potência da geração:","")</f>
        <v/>
      </c>
      <c r="AP57" s="969"/>
      <c r="AQ57" s="969"/>
      <c r="AR57" s="969"/>
      <c r="AS57" s="969"/>
      <c r="AT57" s="969"/>
      <c r="AU57" s="969"/>
      <c r="AV57" s="969"/>
      <c r="AW57" s="969"/>
      <c r="AX57" s="969"/>
      <c r="AY57" s="969"/>
      <c r="AZ57" s="969"/>
      <c r="BA57" s="969"/>
      <c r="BB57" s="969"/>
      <c r="BC57" s="969"/>
      <c r="BD57" s="969"/>
      <c r="BE57" s="969"/>
      <c r="BF57" s="970"/>
      <c r="BG57" s="971"/>
      <c r="BH57" s="971"/>
      <c r="BI57" s="971"/>
      <c r="BJ57" s="971"/>
      <c r="BK57" s="272"/>
      <c r="BL57" s="36"/>
    </row>
    <row r="58" spans="2:64" ht="3.9" customHeight="1" x14ac:dyDescent="0.3">
      <c r="B58" s="199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94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172"/>
      <c r="BL58" s="36"/>
    </row>
    <row r="59" spans="2:64" ht="20.100000000000001" customHeight="1" x14ac:dyDescent="0.3">
      <c r="B59" s="199"/>
      <c r="C59" s="968" t="s">
        <v>153</v>
      </c>
      <c r="D59" s="969"/>
      <c r="E59" s="969"/>
      <c r="F59" s="969"/>
      <c r="G59" s="969"/>
      <c r="H59" s="969"/>
      <c r="I59" s="969"/>
      <c r="J59" s="969"/>
      <c r="K59" s="969"/>
      <c r="L59" s="969"/>
      <c r="M59" s="969"/>
      <c r="N59" s="969"/>
      <c r="O59" s="969"/>
      <c r="P59" s="969"/>
      <c r="Q59" s="969"/>
      <c r="R59" s="969"/>
      <c r="S59" s="969"/>
      <c r="T59" s="969"/>
      <c r="U59" s="969"/>
      <c r="V59" s="969"/>
      <c r="W59" s="969"/>
      <c r="X59" s="969"/>
      <c r="Y59" s="969"/>
      <c r="Z59" s="969"/>
      <c r="AA59" s="969"/>
      <c r="AB59" s="969"/>
      <c r="AC59" s="969"/>
      <c r="AD59" s="969"/>
      <c r="AE59" s="969"/>
      <c r="AF59" s="969"/>
      <c r="AG59" s="969"/>
      <c r="AH59" s="969"/>
      <c r="AI59" s="969"/>
      <c r="AJ59" s="969"/>
      <c r="AK59" s="978"/>
      <c r="AL59" s="965"/>
      <c r="AM59" s="966"/>
      <c r="AN59" s="967"/>
      <c r="AO59" s="968" t="str">
        <f>IF(AL59="Sim","Informar potência da geração:","")</f>
        <v/>
      </c>
      <c r="AP59" s="969"/>
      <c r="AQ59" s="969"/>
      <c r="AR59" s="969"/>
      <c r="AS59" s="969"/>
      <c r="AT59" s="969"/>
      <c r="AU59" s="969"/>
      <c r="AV59" s="969"/>
      <c r="AW59" s="969"/>
      <c r="AX59" s="969"/>
      <c r="AY59" s="969"/>
      <c r="AZ59" s="969"/>
      <c r="BA59" s="969"/>
      <c r="BB59" s="969"/>
      <c r="BC59" s="969"/>
      <c r="BD59" s="969"/>
      <c r="BE59" s="969"/>
      <c r="BF59" s="984"/>
      <c r="BG59" s="985"/>
      <c r="BH59" s="985"/>
      <c r="BI59" s="985"/>
      <c r="BJ59" s="985"/>
      <c r="BK59" s="272"/>
      <c r="BL59" s="36"/>
    </row>
    <row r="60" spans="2:64" ht="20.100000000000001" customHeight="1" thickBot="1" x14ac:dyDescent="0.35">
      <c r="B60" s="201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3"/>
      <c r="BL60" s="36"/>
    </row>
    <row r="61" spans="2:64" x14ac:dyDescent="0.3">
      <c r="B61" s="199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172"/>
      <c r="BL61" s="36"/>
    </row>
    <row r="62" spans="2:64" ht="20.100000000000001" customHeight="1" x14ac:dyDescent="0.3">
      <c r="B62" s="199"/>
      <c r="C62" s="357" t="s">
        <v>803</v>
      </c>
      <c r="D62" s="256"/>
      <c r="E62" s="256"/>
      <c r="F62" s="256"/>
      <c r="G62" s="256">
        <f>($C$2+G5)</f>
        <v>3</v>
      </c>
      <c r="H62" s="358" t="s">
        <v>797</v>
      </c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7"/>
      <c r="U62" s="959" t="s">
        <v>798</v>
      </c>
      <c r="V62" s="959"/>
      <c r="W62" s="959"/>
      <c r="X62" s="959"/>
      <c r="Y62" s="959"/>
      <c r="Z62" s="906"/>
      <c r="AA62" s="906"/>
      <c r="AB62" s="906"/>
      <c r="AC62" s="906"/>
      <c r="AD62" s="906"/>
      <c r="AE62" s="906"/>
      <c r="AF62" s="906"/>
      <c r="AG62" s="906"/>
      <c r="AH62" s="906"/>
      <c r="AI62" s="906"/>
      <c r="AJ62" s="192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7"/>
      <c r="BK62" s="172"/>
    </row>
    <row r="63" spans="2:64" ht="3" customHeight="1" x14ac:dyDescent="0.3">
      <c r="B63" s="199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172"/>
    </row>
    <row r="64" spans="2:64" ht="17.399999999999999" x14ac:dyDescent="0.3">
      <c r="B64" s="199"/>
      <c r="C64" s="886" t="s">
        <v>804</v>
      </c>
      <c r="D64" s="887"/>
      <c r="E64" s="887"/>
      <c r="F64" s="887"/>
      <c r="G64" s="887"/>
      <c r="H64" s="887"/>
      <c r="I64" s="887"/>
      <c r="J64" s="887"/>
      <c r="K64" s="887"/>
      <c r="L64" s="887"/>
      <c r="M64" s="887"/>
      <c r="N64" s="887"/>
      <c r="O64" s="887"/>
      <c r="P64" s="887"/>
      <c r="Q64" s="887"/>
      <c r="R64" s="887"/>
      <c r="S64" s="887"/>
      <c r="T64" s="887"/>
      <c r="U64" s="887"/>
      <c r="V64" s="887"/>
      <c r="W64" s="887"/>
      <c r="X64" s="887"/>
      <c r="Y64" s="887"/>
      <c r="Z64" s="887"/>
      <c r="AA64" s="887"/>
      <c r="AB64" s="887"/>
      <c r="AC64" s="887"/>
      <c r="AD64" s="888"/>
      <c r="AE64" s="135"/>
      <c r="AF64" s="135"/>
      <c r="AG64" s="135"/>
      <c r="AH64" s="135"/>
      <c r="AI64" s="889" t="s">
        <v>805</v>
      </c>
      <c r="AJ64" s="889"/>
      <c r="AK64" s="889"/>
      <c r="AL64" s="889"/>
      <c r="AM64" s="889"/>
      <c r="AN64" s="889"/>
      <c r="AO64" s="889"/>
      <c r="AP64" s="889"/>
      <c r="AQ64" s="889"/>
      <c r="AR64" s="889"/>
      <c r="AS64" s="889"/>
      <c r="AT64" s="889"/>
      <c r="AU64" s="889"/>
      <c r="AV64" s="889"/>
      <c r="AW64" s="889"/>
      <c r="AX64" s="889"/>
      <c r="AY64" s="889"/>
      <c r="AZ64" s="889"/>
      <c r="BA64" s="889"/>
      <c r="BB64" s="889"/>
      <c r="BC64" s="889"/>
      <c r="BD64" s="889"/>
      <c r="BE64" s="889"/>
      <c r="BF64" s="889"/>
      <c r="BG64" s="889"/>
      <c r="BH64" s="889"/>
      <c r="BI64" s="889"/>
      <c r="BJ64" s="889"/>
      <c r="BK64" s="172"/>
    </row>
    <row r="65" spans="2:63" ht="4.5" customHeight="1" x14ac:dyDescent="0.3">
      <c r="B65" s="199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267"/>
      <c r="AJ65" s="267"/>
      <c r="AK65" s="267"/>
      <c r="AL65" s="267"/>
      <c r="AM65" s="267"/>
      <c r="AN65" s="267"/>
      <c r="AO65" s="267"/>
      <c r="AP65" s="267"/>
      <c r="AQ65" s="267"/>
      <c r="AR65" s="267"/>
      <c r="AS65" s="267"/>
      <c r="AT65" s="267"/>
      <c r="AU65" s="267"/>
      <c r="AV65" s="267"/>
      <c r="AW65" s="267"/>
      <c r="AX65" s="267"/>
      <c r="AY65" s="267"/>
      <c r="AZ65" s="267"/>
      <c r="BA65" s="267"/>
      <c r="BB65" s="267"/>
      <c r="BC65" s="267"/>
      <c r="BD65" s="267"/>
      <c r="BE65" s="267"/>
      <c r="BF65" s="267"/>
      <c r="BG65" s="267"/>
      <c r="BH65" s="267"/>
      <c r="BI65" s="267"/>
      <c r="BJ65" s="267"/>
      <c r="BK65" s="172"/>
    </row>
    <row r="66" spans="2:63" ht="25.5" customHeight="1" x14ac:dyDescent="0.3">
      <c r="B66" s="199"/>
      <c r="C66" s="873" t="s">
        <v>81</v>
      </c>
      <c r="D66" s="874"/>
      <c r="E66" s="874"/>
      <c r="F66" s="874"/>
      <c r="G66" s="874"/>
      <c r="H66" s="890" t="s">
        <v>806</v>
      </c>
      <c r="I66" s="891"/>
      <c r="J66" s="891"/>
      <c r="K66" s="891"/>
      <c r="L66" s="891"/>
      <c r="M66" s="873" t="s">
        <v>83</v>
      </c>
      <c r="N66" s="874"/>
      <c r="O66" s="874"/>
      <c r="P66" s="874"/>
      <c r="Q66" s="874"/>
      <c r="R66" s="892" t="s">
        <v>807</v>
      </c>
      <c r="S66" s="893"/>
      <c r="T66" s="893"/>
      <c r="U66" s="893"/>
      <c r="V66" s="894"/>
      <c r="W66" s="895" t="s">
        <v>84</v>
      </c>
      <c r="X66" s="896"/>
      <c r="Y66" s="896"/>
      <c r="Z66" s="896"/>
      <c r="AA66" s="896"/>
      <c r="AB66" s="896"/>
      <c r="AC66" s="896"/>
      <c r="AD66" s="897"/>
      <c r="AE66" s="134"/>
      <c r="AF66" s="134"/>
      <c r="AG66" s="134"/>
      <c r="AH66" s="134"/>
      <c r="AI66" s="898" t="s">
        <v>85</v>
      </c>
      <c r="AJ66" s="898"/>
      <c r="AK66" s="898"/>
      <c r="AL66" s="898"/>
      <c r="AM66" s="898"/>
      <c r="AN66" s="898"/>
      <c r="AO66" s="898"/>
      <c r="AP66" s="898"/>
      <c r="AQ66" s="898"/>
      <c r="AR66" s="898"/>
      <c r="AS66" s="898"/>
      <c r="AT66" s="898"/>
      <c r="AU66" s="898"/>
      <c r="AV66" s="898"/>
      <c r="AW66" s="898"/>
      <c r="AX66" s="898"/>
      <c r="AY66" s="898"/>
      <c r="AZ66" s="898"/>
      <c r="BA66" s="898"/>
      <c r="BB66" s="898"/>
      <c r="BC66" s="898"/>
      <c r="BD66" s="898"/>
      <c r="BE66" s="898"/>
      <c r="BF66" s="898"/>
      <c r="BG66" s="898"/>
      <c r="BH66" s="898"/>
      <c r="BI66" s="898"/>
      <c r="BJ66" s="898"/>
      <c r="BK66" s="172"/>
    </row>
    <row r="67" spans="2:63" ht="20.100000000000001" customHeight="1" x14ac:dyDescent="0.3">
      <c r="B67" s="199"/>
      <c r="C67" s="873" t="s">
        <v>86</v>
      </c>
      <c r="D67" s="874"/>
      <c r="E67" s="874"/>
      <c r="F67" s="874"/>
      <c r="G67" s="874"/>
      <c r="H67" s="899"/>
      <c r="I67" s="900"/>
      <c r="J67" s="900"/>
      <c r="K67" s="900"/>
      <c r="L67" s="901"/>
      <c r="M67" s="902"/>
      <c r="N67" s="903"/>
      <c r="O67" s="903"/>
      <c r="P67" s="903"/>
      <c r="Q67" s="903"/>
      <c r="R67" s="880"/>
      <c r="S67" s="881"/>
      <c r="T67" s="881"/>
      <c r="U67" s="881"/>
      <c r="V67" s="882"/>
      <c r="W67" s="904"/>
      <c r="X67" s="879"/>
      <c r="Y67" s="879"/>
      <c r="Z67" s="879"/>
      <c r="AA67" s="879"/>
      <c r="AB67" s="879"/>
      <c r="AC67" s="879"/>
      <c r="AD67" s="905"/>
      <c r="AE67" s="133"/>
      <c r="AF67" s="133"/>
      <c r="AG67" s="133"/>
      <c r="AH67" s="133"/>
      <c r="AI67" s="898"/>
      <c r="AJ67" s="898"/>
      <c r="AK67" s="898"/>
      <c r="AL67" s="898"/>
      <c r="AM67" s="898"/>
      <c r="AN67" s="898"/>
      <c r="AO67" s="898"/>
      <c r="AP67" s="898"/>
      <c r="AQ67" s="898"/>
      <c r="AR67" s="898"/>
      <c r="AS67" s="898"/>
      <c r="AT67" s="898"/>
      <c r="AU67" s="898"/>
      <c r="AV67" s="898"/>
      <c r="AW67" s="898"/>
      <c r="AX67" s="898"/>
      <c r="AY67" s="898"/>
      <c r="AZ67" s="898"/>
      <c r="BA67" s="898"/>
      <c r="BB67" s="898"/>
      <c r="BC67" s="898"/>
      <c r="BD67" s="898"/>
      <c r="BE67" s="898"/>
      <c r="BF67" s="898"/>
      <c r="BG67" s="898"/>
      <c r="BH67" s="898"/>
      <c r="BI67" s="898"/>
      <c r="BJ67" s="898"/>
      <c r="BK67" s="172"/>
    </row>
    <row r="68" spans="2:63" ht="20.100000000000001" customHeight="1" x14ac:dyDescent="0.3">
      <c r="B68" s="199"/>
      <c r="C68" s="873" t="s">
        <v>87</v>
      </c>
      <c r="D68" s="874"/>
      <c r="E68" s="874"/>
      <c r="F68" s="874"/>
      <c r="G68" s="874"/>
      <c r="H68" s="875"/>
      <c r="I68" s="876"/>
      <c r="J68" s="876"/>
      <c r="K68" s="876"/>
      <c r="L68" s="877"/>
      <c r="M68" s="878"/>
      <c r="N68" s="879"/>
      <c r="O68" s="879"/>
      <c r="P68" s="879"/>
      <c r="Q68" s="879"/>
      <c r="R68" s="880"/>
      <c r="S68" s="881"/>
      <c r="T68" s="881"/>
      <c r="U68" s="881"/>
      <c r="V68" s="882"/>
      <c r="W68" s="883"/>
      <c r="X68" s="884"/>
      <c r="Y68" s="884"/>
      <c r="Z68" s="884"/>
      <c r="AA68" s="884"/>
      <c r="AB68" s="884"/>
      <c r="AC68" s="884"/>
      <c r="AD68" s="885"/>
      <c r="AE68" s="133"/>
      <c r="AF68" s="133"/>
      <c r="AG68" s="133"/>
      <c r="AH68" s="133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172"/>
    </row>
    <row r="69" spans="2:63" ht="20.100000000000001" customHeight="1" x14ac:dyDescent="0.3">
      <c r="B69" s="199"/>
      <c r="C69" s="873" t="s">
        <v>88</v>
      </c>
      <c r="D69" s="874"/>
      <c r="E69" s="874"/>
      <c r="F69" s="874"/>
      <c r="G69" s="874"/>
      <c r="H69" s="875"/>
      <c r="I69" s="876"/>
      <c r="J69" s="876"/>
      <c r="K69" s="876"/>
      <c r="L69" s="877"/>
      <c r="M69" s="878"/>
      <c r="N69" s="879"/>
      <c r="O69" s="879"/>
      <c r="P69" s="879"/>
      <c r="Q69" s="879"/>
      <c r="R69" s="880"/>
      <c r="S69" s="881"/>
      <c r="T69" s="881"/>
      <c r="U69" s="881"/>
      <c r="V69" s="882"/>
      <c r="W69" s="883"/>
      <c r="X69" s="884"/>
      <c r="Y69" s="884"/>
      <c r="Z69" s="884"/>
      <c r="AA69" s="884"/>
      <c r="AB69" s="884"/>
      <c r="AC69" s="884"/>
      <c r="AD69" s="885"/>
      <c r="AE69" s="133"/>
      <c r="AF69" s="133"/>
      <c r="AG69" s="133"/>
      <c r="AH69" s="133"/>
      <c r="AI69" s="908" t="s">
        <v>89</v>
      </c>
      <c r="AJ69" s="908"/>
      <c r="AK69" s="908"/>
      <c r="AL69" s="908"/>
      <c r="AM69" s="908"/>
      <c r="AN69" s="908"/>
      <c r="AO69" s="908"/>
      <c r="AP69" s="908"/>
      <c r="AQ69" s="908"/>
      <c r="AR69" s="908"/>
      <c r="AS69" s="908"/>
      <c r="AT69" s="908"/>
      <c r="AU69" s="908"/>
      <c r="AV69" s="908"/>
      <c r="AW69" s="908"/>
      <c r="AX69" s="908"/>
      <c r="AY69" s="908"/>
      <c r="AZ69" s="908"/>
      <c r="BA69" s="723"/>
      <c r="BB69" s="723"/>
      <c r="BC69" s="723"/>
      <c r="BD69" s="723"/>
      <c r="BE69" s="723"/>
      <c r="BF69" s="723"/>
      <c r="BG69" s="723"/>
      <c r="BH69" s="723"/>
      <c r="BI69" s="723"/>
      <c r="BJ69" s="723"/>
      <c r="BK69" s="172"/>
    </row>
    <row r="70" spans="2:63" ht="20.100000000000001" customHeight="1" x14ac:dyDescent="0.3">
      <c r="B70" s="199"/>
      <c r="C70" s="873" t="s">
        <v>90</v>
      </c>
      <c r="D70" s="874"/>
      <c r="E70" s="874"/>
      <c r="F70" s="874"/>
      <c r="G70" s="874"/>
      <c r="H70" s="875"/>
      <c r="I70" s="876"/>
      <c r="J70" s="876"/>
      <c r="K70" s="876"/>
      <c r="L70" s="877"/>
      <c r="M70" s="878"/>
      <c r="N70" s="879"/>
      <c r="O70" s="879"/>
      <c r="P70" s="879"/>
      <c r="Q70" s="879"/>
      <c r="R70" s="880"/>
      <c r="S70" s="881"/>
      <c r="T70" s="881"/>
      <c r="U70" s="881"/>
      <c r="V70" s="882"/>
      <c r="W70" s="883"/>
      <c r="X70" s="884"/>
      <c r="Y70" s="884"/>
      <c r="Z70" s="884"/>
      <c r="AA70" s="884"/>
      <c r="AB70" s="884"/>
      <c r="AC70" s="884"/>
      <c r="AD70" s="885"/>
      <c r="AE70" s="133"/>
      <c r="AF70" s="133"/>
      <c r="AG70" s="133"/>
      <c r="AH70" s="133"/>
      <c r="AI70" s="908"/>
      <c r="AJ70" s="908"/>
      <c r="AK70" s="908"/>
      <c r="AL70" s="908"/>
      <c r="AM70" s="908"/>
      <c r="AN70" s="908"/>
      <c r="AO70" s="908"/>
      <c r="AP70" s="908"/>
      <c r="AQ70" s="908"/>
      <c r="AR70" s="908"/>
      <c r="AS70" s="908"/>
      <c r="AT70" s="908"/>
      <c r="AU70" s="908"/>
      <c r="AV70" s="908"/>
      <c r="AW70" s="908"/>
      <c r="AX70" s="908"/>
      <c r="AY70" s="908"/>
      <c r="AZ70" s="908"/>
      <c r="BA70" s="723"/>
      <c r="BB70" s="723"/>
      <c r="BC70" s="723"/>
      <c r="BD70" s="723"/>
      <c r="BE70" s="723"/>
      <c r="BF70" s="723"/>
      <c r="BG70" s="723"/>
      <c r="BH70" s="723"/>
      <c r="BI70" s="723"/>
      <c r="BJ70" s="723"/>
      <c r="BK70" s="172"/>
    </row>
    <row r="71" spans="2:63" ht="20.100000000000001" customHeight="1" x14ac:dyDescent="0.3">
      <c r="B71" s="199"/>
      <c r="C71" s="873" t="s">
        <v>91</v>
      </c>
      <c r="D71" s="874"/>
      <c r="E71" s="874"/>
      <c r="F71" s="874"/>
      <c r="G71" s="874"/>
      <c r="H71" s="875"/>
      <c r="I71" s="876"/>
      <c r="J71" s="876"/>
      <c r="K71" s="876"/>
      <c r="L71" s="877"/>
      <c r="M71" s="878"/>
      <c r="N71" s="879"/>
      <c r="O71" s="879"/>
      <c r="P71" s="879"/>
      <c r="Q71" s="879"/>
      <c r="R71" s="880"/>
      <c r="S71" s="881"/>
      <c r="T71" s="881"/>
      <c r="U71" s="881"/>
      <c r="V71" s="882"/>
      <c r="W71" s="883"/>
      <c r="X71" s="884"/>
      <c r="Y71" s="884"/>
      <c r="Z71" s="884"/>
      <c r="AA71" s="884"/>
      <c r="AB71" s="884"/>
      <c r="AC71" s="884"/>
      <c r="AD71" s="885"/>
      <c r="AE71" s="133"/>
      <c r="AF71" s="133"/>
      <c r="AG71" s="133"/>
      <c r="AH71" s="133"/>
      <c r="AI71" s="908" t="s">
        <v>92</v>
      </c>
      <c r="AJ71" s="908"/>
      <c r="AK71" s="908"/>
      <c r="AL71" s="908"/>
      <c r="AM71" s="908"/>
      <c r="AN71" s="908"/>
      <c r="AO71" s="908"/>
      <c r="AP71" s="908"/>
      <c r="AQ71" s="908"/>
      <c r="AR71" s="908"/>
      <c r="AS71" s="908"/>
      <c r="AT71" s="908"/>
      <c r="AU71" s="908"/>
      <c r="AV71" s="908"/>
      <c r="AW71" s="908"/>
      <c r="AX71" s="908"/>
      <c r="AY71" s="908"/>
      <c r="AZ71" s="908"/>
      <c r="BA71" s="396"/>
      <c r="BB71" s="396"/>
      <c r="BC71" s="396"/>
      <c r="BD71" s="396"/>
      <c r="BE71" s="396"/>
      <c r="BF71" s="396"/>
      <c r="BG71" s="396"/>
      <c r="BH71" s="396"/>
      <c r="BI71" s="396"/>
      <c r="BJ71" s="396"/>
      <c r="BK71" s="172"/>
    </row>
    <row r="72" spans="2:63" ht="20.100000000000001" customHeight="1" x14ac:dyDescent="0.3">
      <c r="B72" s="199"/>
      <c r="C72" s="873" t="s">
        <v>93</v>
      </c>
      <c r="D72" s="874"/>
      <c r="E72" s="874"/>
      <c r="F72" s="874"/>
      <c r="G72" s="874"/>
      <c r="H72" s="875"/>
      <c r="I72" s="876"/>
      <c r="J72" s="876"/>
      <c r="K72" s="876"/>
      <c r="L72" s="877"/>
      <c r="M72" s="878"/>
      <c r="N72" s="879"/>
      <c r="O72" s="879"/>
      <c r="P72" s="879"/>
      <c r="Q72" s="879"/>
      <c r="R72" s="880"/>
      <c r="S72" s="881"/>
      <c r="T72" s="881"/>
      <c r="U72" s="881"/>
      <c r="V72" s="882"/>
      <c r="W72" s="883"/>
      <c r="X72" s="884"/>
      <c r="Y72" s="884"/>
      <c r="Z72" s="884"/>
      <c r="AA72" s="884"/>
      <c r="AB72" s="884"/>
      <c r="AC72" s="884"/>
      <c r="AD72" s="885"/>
      <c r="AE72" s="133"/>
      <c r="AF72" s="133"/>
      <c r="AG72" s="133"/>
      <c r="AH72" s="133"/>
      <c r="AI72" s="908"/>
      <c r="AJ72" s="908"/>
      <c r="AK72" s="908"/>
      <c r="AL72" s="908"/>
      <c r="AM72" s="908"/>
      <c r="AN72" s="908"/>
      <c r="AO72" s="908"/>
      <c r="AP72" s="908"/>
      <c r="AQ72" s="908"/>
      <c r="AR72" s="908"/>
      <c r="AS72" s="908"/>
      <c r="AT72" s="908"/>
      <c r="AU72" s="908"/>
      <c r="AV72" s="908"/>
      <c r="AW72" s="908"/>
      <c r="AX72" s="908"/>
      <c r="AY72" s="908"/>
      <c r="AZ72" s="908"/>
      <c r="BA72" s="396"/>
      <c r="BB72" s="396"/>
      <c r="BC72" s="396"/>
      <c r="BD72" s="396"/>
      <c r="BE72" s="396"/>
      <c r="BF72" s="396"/>
      <c r="BG72" s="396"/>
      <c r="BH72" s="396"/>
      <c r="BI72" s="396"/>
      <c r="BJ72" s="396"/>
      <c r="BK72" s="172"/>
    </row>
    <row r="73" spans="2:63" ht="20.100000000000001" customHeight="1" x14ac:dyDescent="0.3">
      <c r="B73" s="199"/>
      <c r="C73" s="873" t="s">
        <v>94</v>
      </c>
      <c r="D73" s="874"/>
      <c r="E73" s="874"/>
      <c r="F73" s="874"/>
      <c r="G73" s="874"/>
      <c r="H73" s="875"/>
      <c r="I73" s="876"/>
      <c r="J73" s="876"/>
      <c r="K73" s="876"/>
      <c r="L73" s="877"/>
      <c r="M73" s="916"/>
      <c r="N73" s="916"/>
      <c r="O73" s="916"/>
      <c r="P73" s="916"/>
      <c r="Q73" s="878"/>
      <c r="R73" s="880"/>
      <c r="S73" s="881"/>
      <c r="T73" s="881"/>
      <c r="U73" s="881"/>
      <c r="V73" s="882"/>
      <c r="W73" s="883"/>
      <c r="X73" s="884"/>
      <c r="Y73" s="884"/>
      <c r="Z73" s="884"/>
      <c r="AA73" s="884"/>
      <c r="AB73" s="884"/>
      <c r="AC73" s="884"/>
      <c r="AD73" s="885"/>
      <c r="AE73" s="133"/>
      <c r="AF73" s="133"/>
      <c r="AG73" s="133"/>
      <c r="AH73" s="133"/>
      <c r="AI73" s="908" t="s">
        <v>95</v>
      </c>
      <c r="AJ73" s="908"/>
      <c r="AK73" s="908"/>
      <c r="AL73" s="908"/>
      <c r="AM73" s="908"/>
      <c r="AN73" s="908"/>
      <c r="AO73" s="908"/>
      <c r="AP73" s="908"/>
      <c r="AQ73" s="908"/>
      <c r="AR73" s="908"/>
      <c r="AS73" s="908"/>
      <c r="AT73" s="908"/>
      <c r="AU73" s="908"/>
      <c r="AV73" s="908"/>
      <c r="AW73" s="908"/>
      <c r="AX73" s="908"/>
      <c r="AY73" s="908"/>
      <c r="AZ73" s="908"/>
      <c r="BA73" s="661"/>
      <c r="BB73" s="661"/>
      <c r="BC73" s="661"/>
      <c r="BD73" s="661"/>
      <c r="BE73" s="661"/>
      <c r="BF73" s="661"/>
      <c r="BG73" s="661"/>
      <c r="BH73" s="661"/>
      <c r="BI73" s="661"/>
      <c r="BJ73" s="661"/>
      <c r="BK73" s="172"/>
    </row>
    <row r="74" spans="2:63" ht="20.100000000000001" customHeight="1" x14ac:dyDescent="0.3">
      <c r="B74" s="199"/>
      <c r="C74" s="909" t="s">
        <v>96</v>
      </c>
      <c r="D74" s="910"/>
      <c r="E74" s="910"/>
      <c r="F74" s="910"/>
      <c r="G74" s="911"/>
      <c r="H74" s="912">
        <f>(H67*M67)+(H68*M68)+(H69*M69)+(H70*M70)+(H71*M71)+(H72*M72)+(H73*M73)</f>
        <v>0</v>
      </c>
      <c r="I74" s="912"/>
      <c r="J74" s="912"/>
      <c r="K74" s="912"/>
      <c r="L74" s="912"/>
      <c r="M74" s="913">
        <f>SUMIF(H67:L73,"&lt;&gt;"&amp;"",M67:Q73)</f>
        <v>0</v>
      </c>
      <c r="N74" s="914"/>
      <c r="O74" s="914"/>
      <c r="P74" s="914"/>
      <c r="Q74" s="915"/>
      <c r="R74" s="974"/>
      <c r="S74" s="975"/>
      <c r="T74" s="975"/>
      <c r="U74" s="975"/>
      <c r="V74" s="975"/>
      <c r="W74" s="976"/>
      <c r="X74" s="976"/>
      <c r="Y74" s="976"/>
      <c r="Z74" s="976"/>
      <c r="AA74" s="976"/>
      <c r="AB74" s="976"/>
      <c r="AC74" s="976"/>
      <c r="AD74" s="977"/>
      <c r="AE74" s="132"/>
      <c r="AF74" s="132"/>
      <c r="AG74" s="132"/>
      <c r="AH74" s="132"/>
      <c r="AI74" s="908"/>
      <c r="AJ74" s="908"/>
      <c r="AK74" s="908"/>
      <c r="AL74" s="908"/>
      <c r="AM74" s="908"/>
      <c r="AN74" s="908"/>
      <c r="AO74" s="908"/>
      <c r="AP74" s="908"/>
      <c r="AQ74" s="908"/>
      <c r="AR74" s="908"/>
      <c r="AS74" s="908"/>
      <c r="AT74" s="908"/>
      <c r="AU74" s="908"/>
      <c r="AV74" s="908"/>
      <c r="AW74" s="908"/>
      <c r="AX74" s="908"/>
      <c r="AY74" s="908"/>
      <c r="AZ74" s="908"/>
      <c r="BA74" s="661"/>
      <c r="BB74" s="661"/>
      <c r="BC74" s="661"/>
      <c r="BD74" s="661"/>
      <c r="BE74" s="661"/>
      <c r="BF74" s="661"/>
      <c r="BG74" s="661"/>
      <c r="BH74" s="661"/>
      <c r="BI74" s="661"/>
      <c r="BJ74" s="661"/>
      <c r="BK74" s="172"/>
    </row>
    <row r="75" spans="2:63" ht="8.25" customHeight="1" x14ac:dyDescent="0.3">
      <c r="B75" s="199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172"/>
    </row>
    <row r="76" spans="2:63" s="136" customFormat="1" ht="30.9" customHeight="1" x14ac:dyDescent="0.3">
      <c r="B76" s="268"/>
      <c r="C76" s="1029" t="s">
        <v>117</v>
      </c>
      <c r="D76" s="1030"/>
      <c r="E76" s="1030"/>
      <c r="F76" s="1030"/>
      <c r="G76" s="1030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30"/>
      <c r="AB76" s="1030"/>
      <c r="AC76" s="1030"/>
      <c r="AD76" s="1030"/>
      <c r="AE76" s="1030"/>
      <c r="AF76" s="1030"/>
      <c r="AG76" s="1030"/>
      <c r="AH76" s="1030"/>
      <c r="AI76" s="1030"/>
      <c r="AJ76" s="1030"/>
      <c r="AK76" s="1030"/>
      <c r="AL76" s="1030"/>
      <c r="AM76" s="1030"/>
      <c r="AN76" s="1030"/>
      <c r="AO76" s="1030"/>
      <c r="AP76" s="1030"/>
      <c r="AQ76" s="1030"/>
      <c r="AR76" s="1030"/>
      <c r="AS76" s="1030"/>
      <c r="AT76" s="1030"/>
      <c r="AU76" s="1030"/>
      <c r="AV76" s="1030"/>
      <c r="AW76" s="1030"/>
      <c r="AX76" s="1030"/>
      <c r="AY76" s="1030"/>
      <c r="AZ76" s="1030"/>
      <c r="BA76" s="1030"/>
      <c r="BB76" s="1030"/>
      <c r="BC76" s="1030"/>
      <c r="BD76" s="1030"/>
      <c r="BE76" s="1030"/>
      <c r="BF76" s="1030"/>
      <c r="BG76" s="1030"/>
      <c r="BH76" s="1030"/>
      <c r="BI76" s="1030"/>
      <c r="BJ76" s="1030"/>
      <c r="BK76" s="269"/>
    </row>
    <row r="77" spans="2:63" s="136" customFormat="1" ht="39.75" customHeight="1" x14ac:dyDescent="0.3">
      <c r="B77" s="268"/>
      <c r="C77" s="1031" t="s">
        <v>99</v>
      </c>
      <c r="D77" s="1031"/>
      <c r="E77" s="1031"/>
      <c r="F77" s="1031"/>
      <c r="G77" s="1031"/>
      <c r="H77" s="1031"/>
      <c r="I77" s="1031"/>
      <c r="J77" s="1031"/>
      <c r="K77" s="1031"/>
      <c r="L77" s="1032" t="s">
        <v>118</v>
      </c>
      <c r="M77" s="1033"/>
      <c r="N77" s="1033"/>
      <c r="O77" s="1033"/>
      <c r="P77" s="1033"/>
      <c r="Q77" s="1034"/>
      <c r="R77" s="1032" t="s">
        <v>119</v>
      </c>
      <c r="S77" s="1033"/>
      <c r="T77" s="1033"/>
      <c r="U77" s="1033"/>
      <c r="V77" s="1034"/>
      <c r="W77" s="1031" t="s">
        <v>120</v>
      </c>
      <c r="X77" s="1031"/>
      <c r="Y77" s="1031"/>
      <c r="Z77" s="1031"/>
      <c r="AA77" s="1031"/>
      <c r="AB77" s="1031"/>
      <c r="AC77" s="1031" t="s">
        <v>121</v>
      </c>
      <c r="AD77" s="1031"/>
      <c r="AE77" s="1031"/>
      <c r="AF77" s="1031"/>
      <c r="AG77" s="1031"/>
      <c r="AH77" s="1031"/>
      <c r="AI77" s="1035" t="s">
        <v>122</v>
      </c>
      <c r="AJ77" s="1036"/>
      <c r="AK77" s="1036"/>
      <c r="AL77" s="1036"/>
      <c r="AM77" s="1037"/>
      <c r="AN77" s="1035" t="s">
        <v>123</v>
      </c>
      <c r="AO77" s="1036"/>
      <c r="AP77" s="1036"/>
      <c r="AQ77" s="1037"/>
      <c r="AR77" s="1035" t="s">
        <v>106</v>
      </c>
      <c r="AS77" s="1036"/>
      <c r="AT77" s="1036"/>
      <c r="AU77" s="1037"/>
      <c r="AV77" s="1032" t="s">
        <v>124</v>
      </c>
      <c r="AW77" s="1033"/>
      <c r="AX77" s="1033"/>
      <c r="AY77" s="1034"/>
      <c r="AZ77" s="1035" t="s">
        <v>125</v>
      </c>
      <c r="BA77" s="1036"/>
      <c r="BB77" s="1036"/>
      <c r="BC77" s="1037"/>
      <c r="BD77" s="1035" t="s">
        <v>111</v>
      </c>
      <c r="BE77" s="1036"/>
      <c r="BF77" s="1036"/>
      <c r="BG77" s="1036"/>
      <c r="BH77" s="1036"/>
      <c r="BI77" s="1036"/>
      <c r="BJ77" s="1036"/>
      <c r="BK77" s="269"/>
    </row>
    <row r="78" spans="2:63" ht="30" customHeight="1" x14ac:dyDescent="0.3">
      <c r="B78" s="199"/>
      <c r="C78" s="1048" t="s">
        <v>126</v>
      </c>
      <c r="D78" s="1048"/>
      <c r="E78" s="1048"/>
      <c r="F78" s="1048"/>
      <c r="G78" s="1048"/>
      <c r="H78" s="1048"/>
      <c r="I78" s="1048"/>
      <c r="J78" s="1048"/>
      <c r="K78" s="1048"/>
      <c r="L78" s="1049" t="s">
        <v>127</v>
      </c>
      <c r="M78" s="1050"/>
      <c r="N78" s="1050"/>
      <c r="O78" s="1050"/>
      <c r="P78" s="1050"/>
      <c r="Q78" s="1051"/>
      <c r="R78" s="1049" t="s">
        <v>128</v>
      </c>
      <c r="S78" s="1050"/>
      <c r="T78" s="1050"/>
      <c r="U78" s="1050"/>
      <c r="V78" s="1051"/>
      <c r="W78" s="1048" t="s">
        <v>129</v>
      </c>
      <c r="X78" s="1048"/>
      <c r="Y78" s="1048"/>
      <c r="Z78" s="1048"/>
      <c r="AA78" s="1048"/>
      <c r="AB78" s="1048"/>
      <c r="AC78" s="1048" t="s">
        <v>130</v>
      </c>
      <c r="AD78" s="1048"/>
      <c r="AE78" s="1048"/>
      <c r="AF78" s="1048"/>
      <c r="AG78" s="1048"/>
      <c r="AH78" s="1048"/>
      <c r="AI78" s="1052">
        <v>0.8</v>
      </c>
      <c r="AJ78" s="1053"/>
      <c r="AK78" s="1053"/>
      <c r="AL78" s="1053"/>
      <c r="AM78" s="1054"/>
      <c r="AN78" s="1052">
        <v>0.95</v>
      </c>
      <c r="AO78" s="1053"/>
      <c r="AP78" s="1053"/>
      <c r="AQ78" s="1054"/>
      <c r="AR78" s="1049" t="s">
        <v>131</v>
      </c>
      <c r="AS78" s="1050"/>
      <c r="AT78" s="1050"/>
      <c r="AU78" s="1051"/>
      <c r="AV78" s="1049" t="s">
        <v>132</v>
      </c>
      <c r="AW78" s="1050"/>
      <c r="AX78" s="1050"/>
      <c r="AY78" s="1051"/>
      <c r="AZ78" s="1049">
        <v>8</v>
      </c>
      <c r="BA78" s="1050"/>
      <c r="BB78" s="1050"/>
      <c r="BC78" s="1051"/>
      <c r="BD78" s="1055" t="s">
        <v>133</v>
      </c>
      <c r="BE78" s="1056"/>
      <c r="BF78" s="1056"/>
      <c r="BG78" s="1056"/>
      <c r="BH78" s="1056"/>
      <c r="BI78" s="1056"/>
      <c r="BJ78" s="1057"/>
      <c r="BK78" s="172"/>
    </row>
    <row r="79" spans="2:63" ht="30" customHeight="1" x14ac:dyDescent="0.3">
      <c r="B79" s="199"/>
      <c r="C79" s="1061"/>
      <c r="D79" s="1061"/>
      <c r="E79" s="1061"/>
      <c r="F79" s="1061"/>
      <c r="G79" s="1061"/>
      <c r="H79" s="1061"/>
      <c r="I79" s="1061"/>
      <c r="J79" s="1061"/>
      <c r="K79" s="1061"/>
      <c r="L79" s="1062"/>
      <c r="M79" s="1063"/>
      <c r="N79" s="1063"/>
      <c r="O79" s="1063"/>
      <c r="P79" s="1063"/>
      <c r="Q79" s="1064"/>
      <c r="R79" s="1065"/>
      <c r="S79" s="1066"/>
      <c r="T79" s="1066"/>
      <c r="U79" s="1066"/>
      <c r="V79" s="1067"/>
      <c r="W79" s="1061"/>
      <c r="X79" s="1061"/>
      <c r="Y79" s="1061"/>
      <c r="Z79" s="1061"/>
      <c r="AA79" s="1061"/>
      <c r="AB79" s="1061"/>
      <c r="AC79" s="1061"/>
      <c r="AD79" s="1061"/>
      <c r="AE79" s="1061"/>
      <c r="AF79" s="1061"/>
      <c r="AG79" s="1061"/>
      <c r="AH79" s="1061"/>
      <c r="AI79" s="1068"/>
      <c r="AJ79" s="1069"/>
      <c r="AK79" s="1069"/>
      <c r="AL79" s="1069"/>
      <c r="AM79" s="1070"/>
      <c r="AN79" s="1068"/>
      <c r="AO79" s="1069"/>
      <c r="AP79" s="1069"/>
      <c r="AQ79" s="1070"/>
      <c r="AR79" s="1065"/>
      <c r="AS79" s="1066"/>
      <c r="AT79" s="1066"/>
      <c r="AU79" s="1067"/>
      <c r="AV79" s="1065"/>
      <c r="AW79" s="1066"/>
      <c r="AX79" s="1066"/>
      <c r="AY79" s="1067"/>
      <c r="AZ79" s="1065"/>
      <c r="BA79" s="1066"/>
      <c r="BB79" s="1066"/>
      <c r="BC79" s="1067"/>
      <c r="BD79" s="1071"/>
      <c r="BE79" s="1072"/>
      <c r="BF79" s="1072"/>
      <c r="BG79" s="1072"/>
      <c r="BH79" s="1072"/>
      <c r="BI79" s="1072"/>
      <c r="BJ79" s="1073"/>
      <c r="BK79" s="172"/>
    </row>
    <row r="80" spans="2:63" ht="30" customHeight="1" x14ac:dyDescent="0.3">
      <c r="B80" s="199"/>
      <c r="C80" s="1061"/>
      <c r="D80" s="1061"/>
      <c r="E80" s="1061"/>
      <c r="F80" s="1061"/>
      <c r="G80" s="1061"/>
      <c r="H80" s="1061"/>
      <c r="I80" s="1061"/>
      <c r="J80" s="1061"/>
      <c r="K80" s="1061"/>
      <c r="L80" s="1062"/>
      <c r="M80" s="1063"/>
      <c r="N80" s="1063"/>
      <c r="O80" s="1063"/>
      <c r="P80" s="1063"/>
      <c r="Q80" s="1064"/>
      <c r="R80" s="1065"/>
      <c r="S80" s="1066"/>
      <c r="T80" s="1066"/>
      <c r="U80" s="1066"/>
      <c r="V80" s="1067"/>
      <c r="W80" s="1061"/>
      <c r="X80" s="1061"/>
      <c r="Y80" s="1061"/>
      <c r="Z80" s="1061"/>
      <c r="AA80" s="1061"/>
      <c r="AB80" s="1061"/>
      <c r="AC80" s="1061"/>
      <c r="AD80" s="1061"/>
      <c r="AE80" s="1061"/>
      <c r="AF80" s="1061"/>
      <c r="AG80" s="1061"/>
      <c r="AH80" s="1061"/>
      <c r="AI80" s="1068"/>
      <c r="AJ80" s="1069"/>
      <c r="AK80" s="1069"/>
      <c r="AL80" s="1069"/>
      <c r="AM80" s="1070"/>
      <c r="AN80" s="1068"/>
      <c r="AO80" s="1069"/>
      <c r="AP80" s="1069"/>
      <c r="AQ80" s="1070"/>
      <c r="AR80" s="1065"/>
      <c r="AS80" s="1066"/>
      <c r="AT80" s="1066"/>
      <c r="AU80" s="1067"/>
      <c r="AV80" s="1065"/>
      <c r="AW80" s="1066"/>
      <c r="AX80" s="1066"/>
      <c r="AY80" s="1067"/>
      <c r="AZ80" s="1065"/>
      <c r="BA80" s="1066"/>
      <c r="BB80" s="1066"/>
      <c r="BC80" s="1067"/>
      <c r="BD80" s="1071"/>
      <c r="BE80" s="1072"/>
      <c r="BF80" s="1072"/>
      <c r="BG80" s="1072"/>
      <c r="BH80" s="1072"/>
      <c r="BI80" s="1072"/>
      <c r="BJ80" s="1073"/>
      <c r="BK80" s="172"/>
    </row>
    <row r="81" spans="2:63" ht="30" customHeight="1" x14ac:dyDescent="0.3">
      <c r="B81" s="199"/>
      <c r="C81" s="1061"/>
      <c r="D81" s="1061"/>
      <c r="E81" s="1061"/>
      <c r="F81" s="1061"/>
      <c r="G81" s="1061"/>
      <c r="H81" s="1061"/>
      <c r="I81" s="1061"/>
      <c r="J81" s="1061"/>
      <c r="K81" s="1061"/>
      <c r="L81" s="1062"/>
      <c r="M81" s="1063"/>
      <c r="N81" s="1063"/>
      <c r="O81" s="1063"/>
      <c r="P81" s="1063"/>
      <c r="Q81" s="1064"/>
      <c r="R81" s="1065"/>
      <c r="S81" s="1066"/>
      <c r="T81" s="1066"/>
      <c r="U81" s="1066"/>
      <c r="V81" s="1067"/>
      <c r="W81" s="1061"/>
      <c r="X81" s="1061"/>
      <c r="Y81" s="1061"/>
      <c r="Z81" s="1061"/>
      <c r="AA81" s="1061"/>
      <c r="AB81" s="1061"/>
      <c r="AC81" s="1061"/>
      <c r="AD81" s="1061"/>
      <c r="AE81" s="1061"/>
      <c r="AF81" s="1061"/>
      <c r="AG81" s="1061"/>
      <c r="AH81" s="1061"/>
      <c r="AI81" s="1068"/>
      <c r="AJ81" s="1069"/>
      <c r="AK81" s="1069"/>
      <c r="AL81" s="1069"/>
      <c r="AM81" s="1070"/>
      <c r="AN81" s="1068"/>
      <c r="AO81" s="1069"/>
      <c r="AP81" s="1069"/>
      <c r="AQ81" s="1070"/>
      <c r="AR81" s="1065"/>
      <c r="AS81" s="1066"/>
      <c r="AT81" s="1066"/>
      <c r="AU81" s="1067"/>
      <c r="AV81" s="1065"/>
      <c r="AW81" s="1066"/>
      <c r="AX81" s="1066"/>
      <c r="AY81" s="1067"/>
      <c r="AZ81" s="1065"/>
      <c r="BA81" s="1066"/>
      <c r="BB81" s="1066"/>
      <c r="BC81" s="1067"/>
      <c r="BD81" s="1071"/>
      <c r="BE81" s="1072"/>
      <c r="BF81" s="1072"/>
      <c r="BG81" s="1072"/>
      <c r="BH81" s="1072"/>
      <c r="BI81" s="1072"/>
      <c r="BJ81" s="1073"/>
      <c r="BK81" s="172"/>
    </row>
    <row r="82" spans="2:63" ht="30" customHeight="1" x14ac:dyDescent="0.3">
      <c r="B82" s="199"/>
      <c r="C82" s="1061"/>
      <c r="D82" s="1061"/>
      <c r="E82" s="1061"/>
      <c r="F82" s="1061"/>
      <c r="G82" s="1061"/>
      <c r="H82" s="1061"/>
      <c r="I82" s="1061"/>
      <c r="J82" s="1061"/>
      <c r="K82" s="1061"/>
      <c r="L82" s="1062"/>
      <c r="M82" s="1063"/>
      <c r="N82" s="1063"/>
      <c r="O82" s="1063"/>
      <c r="P82" s="1063"/>
      <c r="Q82" s="1064"/>
      <c r="R82" s="1065"/>
      <c r="S82" s="1066"/>
      <c r="T82" s="1066"/>
      <c r="U82" s="1066"/>
      <c r="V82" s="1067"/>
      <c r="W82" s="1061"/>
      <c r="X82" s="1061"/>
      <c r="Y82" s="1061"/>
      <c r="Z82" s="1061"/>
      <c r="AA82" s="1061"/>
      <c r="AB82" s="1061"/>
      <c r="AC82" s="1061"/>
      <c r="AD82" s="1061"/>
      <c r="AE82" s="1061"/>
      <c r="AF82" s="1061"/>
      <c r="AG82" s="1061"/>
      <c r="AH82" s="1061"/>
      <c r="AI82" s="1068"/>
      <c r="AJ82" s="1069"/>
      <c r="AK82" s="1069"/>
      <c r="AL82" s="1069"/>
      <c r="AM82" s="1070"/>
      <c r="AN82" s="1068"/>
      <c r="AO82" s="1069"/>
      <c r="AP82" s="1069"/>
      <c r="AQ82" s="1070"/>
      <c r="AR82" s="1065"/>
      <c r="AS82" s="1066"/>
      <c r="AT82" s="1066"/>
      <c r="AU82" s="1067"/>
      <c r="AV82" s="1065"/>
      <c r="AW82" s="1066"/>
      <c r="AX82" s="1066"/>
      <c r="AY82" s="1067"/>
      <c r="AZ82" s="1065"/>
      <c r="BA82" s="1066"/>
      <c r="BB82" s="1066"/>
      <c r="BC82" s="1067"/>
      <c r="BD82" s="1071"/>
      <c r="BE82" s="1072"/>
      <c r="BF82" s="1072"/>
      <c r="BG82" s="1072"/>
      <c r="BH82" s="1072"/>
      <c r="BI82" s="1072"/>
      <c r="BJ82" s="1073"/>
      <c r="BK82" s="172"/>
    </row>
    <row r="83" spans="2:63" ht="30" customHeight="1" x14ac:dyDescent="0.3">
      <c r="B83" s="199"/>
      <c r="C83" s="1061"/>
      <c r="D83" s="1061"/>
      <c r="E83" s="1061"/>
      <c r="F83" s="1061"/>
      <c r="G83" s="1061"/>
      <c r="H83" s="1061"/>
      <c r="I83" s="1061"/>
      <c r="J83" s="1061"/>
      <c r="K83" s="1061"/>
      <c r="L83" s="1062"/>
      <c r="M83" s="1063"/>
      <c r="N83" s="1063"/>
      <c r="O83" s="1063"/>
      <c r="P83" s="1063"/>
      <c r="Q83" s="1064"/>
      <c r="R83" s="1065"/>
      <c r="S83" s="1066"/>
      <c r="T83" s="1066"/>
      <c r="U83" s="1066"/>
      <c r="V83" s="1067"/>
      <c r="W83" s="1061"/>
      <c r="X83" s="1061"/>
      <c r="Y83" s="1061"/>
      <c r="Z83" s="1061"/>
      <c r="AA83" s="1061"/>
      <c r="AB83" s="1061"/>
      <c r="AC83" s="1061"/>
      <c r="AD83" s="1061"/>
      <c r="AE83" s="1061"/>
      <c r="AF83" s="1061"/>
      <c r="AG83" s="1061"/>
      <c r="AH83" s="1061"/>
      <c r="AI83" s="1068"/>
      <c r="AJ83" s="1069"/>
      <c r="AK83" s="1069"/>
      <c r="AL83" s="1069"/>
      <c r="AM83" s="1070"/>
      <c r="AN83" s="1068"/>
      <c r="AO83" s="1069"/>
      <c r="AP83" s="1069"/>
      <c r="AQ83" s="1070"/>
      <c r="AR83" s="1065"/>
      <c r="AS83" s="1066"/>
      <c r="AT83" s="1066"/>
      <c r="AU83" s="1067"/>
      <c r="AV83" s="1065"/>
      <c r="AW83" s="1066"/>
      <c r="AX83" s="1066"/>
      <c r="AY83" s="1067"/>
      <c r="AZ83" s="1065"/>
      <c r="BA83" s="1066"/>
      <c r="BB83" s="1066"/>
      <c r="BC83" s="1067"/>
      <c r="BD83" s="1071"/>
      <c r="BE83" s="1072"/>
      <c r="BF83" s="1072"/>
      <c r="BG83" s="1072"/>
      <c r="BH83" s="1072"/>
      <c r="BI83" s="1072"/>
      <c r="BJ83" s="1073"/>
      <c r="BK83" s="172"/>
    </row>
    <row r="84" spans="2:63" ht="30" customHeight="1" x14ac:dyDescent="0.3">
      <c r="B84" s="199"/>
      <c r="C84" s="1061"/>
      <c r="D84" s="1061"/>
      <c r="E84" s="1061"/>
      <c r="F84" s="1061"/>
      <c r="G84" s="1061"/>
      <c r="H84" s="1061"/>
      <c r="I84" s="1061"/>
      <c r="J84" s="1061"/>
      <c r="K84" s="1061"/>
      <c r="L84" s="1062"/>
      <c r="M84" s="1063"/>
      <c r="N84" s="1063"/>
      <c r="O84" s="1063"/>
      <c r="P84" s="1063"/>
      <c r="Q84" s="1064"/>
      <c r="R84" s="1065"/>
      <c r="S84" s="1066"/>
      <c r="T84" s="1066"/>
      <c r="U84" s="1066"/>
      <c r="V84" s="1067"/>
      <c r="W84" s="1061"/>
      <c r="X84" s="1061"/>
      <c r="Y84" s="1061"/>
      <c r="Z84" s="1061"/>
      <c r="AA84" s="1061"/>
      <c r="AB84" s="1061"/>
      <c r="AC84" s="1061"/>
      <c r="AD84" s="1061"/>
      <c r="AE84" s="1061"/>
      <c r="AF84" s="1061"/>
      <c r="AG84" s="1061"/>
      <c r="AH84" s="1061"/>
      <c r="AI84" s="1068"/>
      <c r="AJ84" s="1069"/>
      <c r="AK84" s="1069"/>
      <c r="AL84" s="1069"/>
      <c r="AM84" s="1070"/>
      <c r="AN84" s="1068"/>
      <c r="AO84" s="1069"/>
      <c r="AP84" s="1069"/>
      <c r="AQ84" s="1070"/>
      <c r="AR84" s="1065"/>
      <c r="AS84" s="1066"/>
      <c r="AT84" s="1066"/>
      <c r="AU84" s="1067"/>
      <c r="AV84" s="1065"/>
      <c r="AW84" s="1066"/>
      <c r="AX84" s="1066"/>
      <c r="AY84" s="1067"/>
      <c r="AZ84" s="1065"/>
      <c r="BA84" s="1066"/>
      <c r="BB84" s="1066"/>
      <c r="BC84" s="1067"/>
      <c r="BD84" s="1071"/>
      <c r="BE84" s="1072"/>
      <c r="BF84" s="1072"/>
      <c r="BG84" s="1072"/>
      <c r="BH84" s="1072"/>
      <c r="BI84" s="1072"/>
      <c r="BJ84" s="1073"/>
      <c r="BK84" s="172"/>
    </row>
    <row r="85" spans="2:63" ht="30" customHeight="1" x14ac:dyDescent="0.3">
      <c r="B85" s="199"/>
      <c r="C85" s="1061"/>
      <c r="D85" s="1061"/>
      <c r="E85" s="1061"/>
      <c r="F85" s="1061"/>
      <c r="G85" s="1061"/>
      <c r="H85" s="1061"/>
      <c r="I85" s="1061"/>
      <c r="J85" s="1061"/>
      <c r="K85" s="1061"/>
      <c r="L85" s="1062"/>
      <c r="M85" s="1063"/>
      <c r="N85" s="1063"/>
      <c r="O85" s="1063"/>
      <c r="P85" s="1063"/>
      <c r="Q85" s="1064"/>
      <c r="R85" s="1065"/>
      <c r="S85" s="1066"/>
      <c r="T85" s="1066"/>
      <c r="U85" s="1066"/>
      <c r="V85" s="1067"/>
      <c r="W85" s="1061"/>
      <c r="X85" s="1061"/>
      <c r="Y85" s="1061"/>
      <c r="Z85" s="1061"/>
      <c r="AA85" s="1061"/>
      <c r="AB85" s="1061"/>
      <c r="AC85" s="1061"/>
      <c r="AD85" s="1061"/>
      <c r="AE85" s="1061"/>
      <c r="AF85" s="1061"/>
      <c r="AG85" s="1061"/>
      <c r="AH85" s="1061"/>
      <c r="AI85" s="1068"/>
      <c r="AJ85" s="1069"/>
      <c r="AK85" s="1069"/>
      <c r="AL85" s="1069"/>
      <c r="AM85" s="1070"/>
      <c r="AN85" s="1068"/>
      <c r="AO85" s="1069"/>
      <c r="AP85" s="1069"/>
      <c r="AQ85" s="1070"/>
      <c r="AR85" s="1065"/>
      <c r="AS85" s="1066"/>
      <c r="AT85" s="1066"/>
      <c r="AU85" s="1067"/>
      <c r="AV85" s="1065"/>
      <c r="AW85" s="1066"/>
      <c r="AX85" s="1066"/>
      <c r="AY85" s="1067"/>
      <c r="AZ85" s="1065"/>
      <c r="BA85" s="1066"/>
      <c r="BB85" s="1066"/>
      <c r="BC85" s="1067"/>
      <c r="BD85" s="1071"/>
      <c r="BE85" s="1072"/>
      <c r="BF85" s="1072"/>
      <c r="BG85" s="1072"/>
      <c r="BH85" s="1072"/>
      <c r="BI85" s="1072"/>
      <c r="BJ85" s="1073"/>
      <c r="BK85" s="172"/>
    </row>
    <row r="86" spans="2:63" ht="30" customHeight="1" x14ac:dyDescent="0.3">
      <c r="B86" s="199"/>
      <c r="C86" s="1061"/>
      <c r="D86" s="1061"/>
      <c r="E86" s="1061"/>
      <c r="F86" s="1061"/>
      <c r="G86" s="1061"/>
      <c r="H86" s="1061"/>
      <c r="I86" s="1061"/>
      <c r="J86" s="1061"/>
      <c r="K86" s="1061"/>
      <c r="L86" s="1062"/>
      <c r="M86" s="1063"/>
      <c r="N86" s="1063"/>
      <c r="O86" s="1063"/>
      <c r="P86" s="1063"/>
      <c r="Q86" s="1064"/>
      <c r="R86" s="1065"/>
      <c r="S86" s="1066"/>
      <c r="T86" s="1066"/>
      <c r="U86" s="1066"/>
      <c r="V86" s="1067"/>
      <c r="W86" s="1061"/>
      <c r="X86" s="1061"/>
      <c r="Y86" s="1061"/>
      <c r="Z86" s="1061"/>
      <c r="AA86" s="1061"/>
      <c r="AB86" s="1061"/>
      <c r="AC86" s="1061"/>
      <c r="AD86" s="1061"/>
      <c r="AE86" s="1061"/>
      <c r="AF86" s="1061"/>
      <c r="AG86" s="1061"/>
      <c r="AH86" s="1061"/>
      <c r="AI86" s="1068"/>
      <c r="AJ86" s="1069"/>
      <c r="AK86" s="1069"/>
      <c r="AL86" s="1069"/>
      <c r="AM86" s="1070"/>
      <c r="AN86" s="1068"/>
      <c r="AO86" s="1069"/>
      <c r="AP86" s="1069"/>
      <c r="AQ86" s="1070"/>
      <c r="AR86" s="1065"/>
      <c r="AS86" s="1066"/>
      <c r="AT86" s="1066"/>
      <c r="AU86" s="1067"/>
      <c r="AV86" s="1065"/>
      <c r="AW86" s="1066"/>
      <c r="AX86" s="1066"/>
      <c r="AY86" s="1067"/>
      <c r="AZ86" s="1065"/>
      <c r="BA86" s="1066"/>
      <c r="BB86" s="1066"/>
      <c r="BC86" s="1067"/>
      <c r="BD86" s="1071"/>
      <c r="BE86" s="1072"/>
      <c r="BF86" s="1072"/>
      <c r="BG86" s="1072"/>
      <c r="BH86" s="1072"/>
      <c r="BI86" s="1072"/>
      <c r="BJ86" s="1073"/>
      <c r="BK86" s="172"/>
    </row>
    <row r="87" spans="2:63" ht="30" customHeight="1" x14ac:dyDescent="0.3">
      <c r="B87" s="199"/>
      <c r="C87" s="1061"/>
      <c r="D87" s="1061"/>
      <c r="E87" s="1061"/>
      <c r="F87" s="1061"/>
      <c r="G87" s="1061"/>
      <c r="H87" s="1061"/>
      <c r="I87" s="1061"/>
      <c r="J87" s="1061"/>
      <c r="K87" s="1061"/>
      <c r="L87" s="1062"/>
      <c r="M87" s="1063"/>
      <c r="N87" s="1063"/>
      <c r="O87" s="1063"/>
      <c r="P87" s="1063"/>
      <c r="Q87" s="1064"/>
      <c r="R87" s="1065"/>
      <c r="S87" s="1066"/>
      <c r="T87" s="1066"/>
      <c r="U87" s="1066"/>
      <c r="V87" s="1067"/>
      <c r="W87" s="1061"/>
      <c r="X87" s="1061"/>
      <c r="Y87" s="1061"/>
      <c r="Z87" s="1061"/>
      <c r="AA87" s="1061"/>
      <c r="AB87" s="1061"/>
      <c r="AC87" s="1061"/>
      <c r="AD87" s="1061"/>
      <c r="AE87" s="1061"/>
      <c r="AF87" s="1061"/>
      <c r="AG87" s="1061"/>
      <c r="AH87" s="1061"/>
      <c r="AI87" s="1068"/>
      <c r="AJ87" s="1069"/>
      <c r="AK87" s="1069"/>
      <c r="AL87" s="1069"/>
      <c r="AM87" s="1070"/>
      <c r="AN87" s="1068"/>
      <c r="AO87" s="1069"/>
      <c r="AP87" s="1069"/>
      <c r="AQ87" s="1070"/>
      <c r="AR87" s="1065"/>
      <c r="AS87" s="1066"/>
      <c r="AT87" s="1066"/>
      <c r="AU87" s="1067"/>
      <c r="AV87" s="1065"/>
      <c r="AW87" s="1066"/>
      <c r="AX87" s="1066"/>
      <c r="AY87" s="1067"/>
      <c r="AZ87" s="1065"/>
      <c r="BA87" s="1066"/>
      <c r="BB87" s="1066"/>
      <c r="BC87" s="1067"/>
      <c r="BD87" s="1071"/>
      <c r="BE87" s="1072"/>
      <c r="BF87" s="1072"/>
      <c r="BG87" s="1072"/>
      <c r="BH87" s="1072"/>
      <c r="BI87" s="1072"/>
      <c r="BJ87" s="1073"/>
      <c r="BK87" s="172"/>
    </row>
    <row r="88" spans="2:63" ht="6" customHeight="1" x14ac:dyDescent="0.3">
      <c r="B88" s="199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172"/>
    </row>
    <row r="89" spans="2:63" ht="27" hidden="1" customHeight="1" x14ac:dyDescent="0.3">
      <c r="B89" s="199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172"/>
    </row>
    <row r="90" spans="2:63" ht="15.6" hidden="1" customHeight="1" x14ac:dyDescent="0.3">
      <c r="B90" s="199"/>
      <c r="C90" s="919" t="s">
        <v>134</v>
      </c>
      <c r="D90" s="920"/>
      <c r="E90" s="920"/>
      <c r="F90" s="920"/>
      <c r="G90" s="920"/>
      <c r="H90" s="920"/>
      <c r="I90" s="920"/>
      <c r="J90" s="920"/>
      <c r="K90" s="920"/>
      <c r="L90" s="920"/>
      <c r="M90" s="920"/>
      <c r="N90" s="920"/>
      <c r="O90" s="920"/>
      <c r="P90" s="920"/>
      <c r="Q90" s="921"/>
      <c r="R90" s="925" t="s">
        <v>135</v>
      </c>
      <c r="S90" s="926"/>
      <c r="T90" s="926"/>
      <c r="U90" s="926"/>
      <c r="V90" s="926"/>
      <c r="W90" s="926"/>
      <c r="X90" s="926"/>
      <c r="Y90" s="926"/>
      <c r="Z90" s="926"/>
      <c r="AA90" s="926"/>
      <c r="AB90" s="926"/>
      <c r="AC90" s="926"/>
      <c r="AD90" s="926"/>
      <c r="AE90" s="926"/>
      <c r="AF90" s="927"/>
      <c r="AG90" s="928">
        <f>H74</f>
        <v>0</v>
      </c>
      <c r="AH90" s="928"/>
      <c r="AI90" s="928"/>
      <c r="AJ90" s="928"/>
      <c r="AK90" s="928"/>
      <c r="AL90" s="929"/>
      <c r="AM90" s="930"/>
      <c r="AN90" s="930"/>
      <c r="AO90" s="930"/>
      <c r="AP90" s="930"/>
      <c r="AQ90" s="930"/>
      <c r="AR90" s="930"/>
      <c r="AS90" s="930"/>
      <c r="AT90" s="930"/>
      <c r="AU90" s="930"/>
      <c r="AV90" s="930"/>
      <c r="AW90" s="930"/>
      <c r="AX90" s="930"/>
      <c r="AY90" s="930"/>
      <c r="AZ90" s="930"/>
      <c r="BA90" s="930"/>
      <c r="BB90" s="930"/>
      <c r="BC90" s="930"/>
      <c r="BD90" s="930"/>
      <c r="BE90" s="930"/>
      <c r="BF90" s="930"/>
      <c r="BG90" s="930"/>
      <c r="BH90" s="930"/>
      <c r="BI90" s="930"/>
      <c r="BJ90" s="931"/>
      <c r="BK90" s="172"/>
    </row>
    <row r="91" spans="2:63" ht="15.6" hidden="1" customHeight="1" x14ac:dyDescent="0.3">
      <c r="B91" s="199"/>
      <c r="C91" s="922"/>
      <c r="D91" s="923"/>
      <c r="E91" s="923"/>
      <c r="F91" s="923"/>
      <c r="G91" s="923"/>
      <c r="H91" s="923"/>
      <c r="I91" s="923"/>
      <c r="J91" s="923"/>
      <c r="K91" s="923"/>
      <c r="L91" s="923"/>
      <c r="M91" s="923"/>
      <c r="N91" s="923"/>
      <c r="O91" s="923"/>
      <c r="P91" s="923"/>
      <c r="Q91" s="924"/>
      <c r="R91" s="925" t="s">
        <v>137</v>
      </c>
      <c r="S91" s="926"/>
      <c r="T91" s="926"/>
      <c r="U91" s="926"/>
      <c r="V91" s="926"/>
      <c r="W91" s="926"/>
      <c r="X91" s="926"/>
      <c r="Y91" s="926"/>
      <c r="Z91" s="926"/>
      <c r="AA91" s="926"/>
      <c r="AB91" s="926"/>
      <c r="AC91" s="926"/>
      <c r="AD91" s="926"/>
      <c r="AE91" s="926"/>
      <c r="AF91" s="927"/>
      <c r="AG91" s="929">
        <f>M74</f>
        <v>0</v>
      </c>
      <c r="AH91" s="930"/>
      <c r="AI91" s="930"/>
      <c r="AJ91" s="930"/>
      <c r="AK91" s="931"/>
      <c r="AL91" s="932"/>
      <c r="AM91" s="933"/>
      <c r="AN91" s="933"/>
      <c r="AO91" s="933"/>
      <c r="AP91" s="933"/>
      <c r="AQ91" s="933"/>
      <c r="AR91" s="933"/>
      <c r="AS91" s="933"/>
      <c r="AT91" s="933"/>
      <c r="AU91" s="933"/>
      <c r="AV91" s="933"/>
      <c r="AW91" s="933"/>
      <c r="AX91" s="933"/>
      <c r="AY91" s="933"/>
      <c r="AZ91" s="933"/>
      <c r="BA91" s="933"/>
      <c r="BB91" s="933"/>
      <c r="BC91" s="933"/>
      <c r="BD91" s="933"/>
      <c r="BE91" s="933"/>
      <c r="BF91" s="933"/>
      <c r="BG91" s="933"/>
      <c r="BH91" s="933"/>
      <c r="BI91" s="933"/>
      <c r="BJ91" s="1040"/>
      <c r="BK91" s="172"/>
    </row>
    <row r="92" spans="2:63" ht="1.5" hidden="1" customHeight="1" x14ac:dyDescent="0.3">
      <c r="B92" s="199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172"/>
    </row>
    <row r="93" spans="2:63" ht="15.6" hidden="1" customHeight="1" x14ac:dyDescent="0.3">
      <c r="B93" s="199"/>
      <c r="C93" s="919" t="s">
        <v>138</v>
      </c>
      <c r="D93" s="920"/>
      <c r="E93" s="920"/>
      <c r="F93" s="920"/>
      <c r="G93" s="920"/>
      <c r="H93" s="920"/>
      <c r="I93" s="920"/>
      <c r="J93" s="920"/>
      <c r="K93" s="920"/>
      <c r="L93" s="920"/>
      <c r="M93" s="920"/>
      <c r="N93" s="920"/>
      <c r="O93" s="920"/>
      <c r="P93" s="920"/>
      <c r="Q93" s="921"/>
      <c r="R93" s="998" t="s">
        <v>139</v>
      </c>
      <c r="S93" s="999"/>
      <c r="T93" s="999"/>
      <c r="U93" s="999"/>
      <c r="V93" s="999"/>
      <c r="W93" s="999"/>
      <c r="X93" s="999"/>
      <c r="Y93" s="999"/>
      <c r="Z93" s="999"/>
      <c r="AA93" s="999"/>
      <c r="AB93" s="999"/>
      <c r="AC93" s="999"/>
      <c r="AD93" s="1000"/>
      <c r="AE93" s="1015"/>
      <c r="AF93" s="1016"/>
      <c r="AG93" s="1016"/>
      <c r="AH93" s="1016"/>
      <c r="AI93" s="1017"/>
      <c r="AJ93" s="1004" t="s">
        <v>140</v>
      </c>
      <c r="AK93" s="1005"/>
      <c r="AL93" s="1005"/>
      <c r="AM93" s="1005"/>
      <c r="AN93" s="1006"/>
      <c r="AO93" s="1018"/>
      <c r="AP93" s="1019"/>
      <c r="AQ93" s="1019"/>
      <c r="AR93" s="1020"/>
      <c r="AS93" s="995" t="s">
        <v>141</v>
      </c>
      <c r="AT93" s="996"/>
      <c r="AU93" s="996"/>
      <c r="AV93" s="996"/>
      <c r="AW93" s="996"/>
      <c r="AX93" s="996"/>
      <c r="AY93" s="996"/>
      <c r="AZ93" s="996"/>
      <c r="BA93" s="996"/>
      <c r="BB93" s="996"/>
      <c r="BC93" s="996"/>
      <c r="BD93" s="996"/>
      <c r="BE93" s="996"/>
      <c r="BF93" s="996"/>
      <c r="BG93" s="997"/>
      <c r="BH93" s="982" t="s">
        <v>155</v>
      </c>
      <c r="BI93" s="983"/>
      <c r="BJ93" s="1038"/>
      <c r="BK93" s="172"/>
    </row>
    <row r="94" spans="2:63" ht="15.6" hidden="1" customHeight="1" x14ac:dyDescent="0.3">
      <c r="B94" s="199"/>
      <c r="C94" s="1012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3"/>
      <c r="P94" s="1013"/>
      <c r="Q94" s="1014"/>
      <c r="R94" s="998" t="s">
        <v>143</v>
      </c>
      <c r="S94" s="999"/>
      <c r="T94" s="999"/>
      <c r="U94" s="999"/>
      <c r="V94" s="999"/>
      <c r="W94" s="999"/>
      <c r="X94" s="999"/>
      <c r="Y94" s="999"/>
      <c r="Z94" s="999"/>
      <c r="AA94" s="999"/>
      <c r="AB94" s="999"/>
      <c r="AC94" s="999"/>
      <c r="AD94" s="1000"/>
      <c r="AE94" s="1001">
        <f>H74</f>
        <v>0</v>
      </c>
      <c r="AF94" s="1002"/>
      <c r="AG94" s="1002"/>
      <c r="AH94" s="1002"/>
      <c r="AI94" s="1003"/>
      <c r="AJ94" s="1004" t="s">
        <v>144</v>
      </c>
      <c r="AK94" s="1005"/>
      <c r="AL94" s="1005"/>
      <c r="AM94" s="1005"/>
      <c r="AN94" s="1006"/>
      <c r="AO94" s="1007">
        <f>M74</f>
        <v>0</v>
      </c>
      <c r="AP94" s="1008"/>
      <c r="AQ94" s="1008"/>
      <c r="AR94" s="1009"/>
      <c r="AS94" s="1010"/>
      <c r="AT94" s="1011"/>
      <c r="AU94" s="1011"/>
      <c r="AV94" s="1011"/>
      <c r="AW94" s="1011"/>
      <c r="AX94" s="1011"/>
      <c r="AY94" s="1011"/>
      <c r="AZ94" s="1011"/>
      <c r="BA94" s="1011"/>
      <c r="BB94" s="1011"/>
      <c r="BC94" s="1011"/>
      <c r="BD94" s="1011"/>
      <c r="BE94" s="1011"/>
      <c r="BF94" s="1011"/>
      <c r="BG94" s="1011"/>
      <c r="BH94" s="1011"/>
      <c r="BI94" s="1011"/>
      <c r="BJ94" s="1039"/>
      <c r="BK94" s="172"/>
    </row>
    <row r="95" spans="2:63" ht="15.6" hidden="1" customHeight="1" x14ac:dyDescent="0.3">
      <c r="B95" s="199"/>
      <c r="C95" s="922"/>
      <c r="D95" s="923"/>
      <c r="E95" s="923"/>
      <c r="F95" s="923"/>
      <c r="G95" s="923"/>
      <c r="H95" s="923"/>
      <c r="I95" s="923"/>
      <c r="J95" s="923"/>
      <c r="K95" s="923"/>
      <c r="L95" s="923"/>
      <c r="M95" s="923"/>
      <c r="N95" s="923"/>
      <c r="O95" s="923"/>
      <c r="P95" s="923"/>
      <c r="Q95" s="924"/>
      <c r="R95" s="998" t="s">
        <v>136</v>
      </c>
      <c r="S95" s="999"/>
      <c r="T95" s="999"/>
      <c r="U95" s="999"/>
      <c r="V95" s="999"/>
      <c r="W95" s="999"/>
      <c r="X95" s="999"/>
      <c r="Y95" s="999"/>
      <c r="Z95" s="999"/>
      <c r="AA95" s="999"/>
      <c r="AB95" s="999"/>
      <c r="AC95" s="999"/>
      <c r="AD95" s="999"/>
      <c r="AE95" s="999"/>
      <c r="AF95" s="999"/>
      <c r="AG95" s="999"/>
      <c r="AH95" s="999"/>
      <c r="AI95" s="999"/>
      <c r="AJ95" s="999"/>
      <c r="AK95" s="999"/>
      <c r="AL95" s="1000"/>
      <c r="AM95" s="929" t="str">
        <f>IF(BH93="Sim","De:",IF(OR(BH93="Não",BH93=""),"Atual:",""))</f>
        <v>Atual:</v>
      </c>
      <c r="AN95" s="930"/>
      <c r="AO95" s="931"/>
      <c r="AP95" s="1021" t="s">
        <v>808</v>
      </c>
      <c r="AQ95" s="1022"/>
      <c r="AR95" s="1022"/>
      <c r="AS95" s="1022"/>
      <c r="AT95" s="1022"/>
      <c r="AU95" s="1022"/>
      <c r="AV95" s="1022"/>
      <c r="AW95" s="1022"/>
      <c r="AX95" s="1023"/>
      <c r="AY95" s="979" t="str">
        <f>IF(BH93="Sim","Para:","")</f>
        <v/>
      </c>
      <c r="AZ95" s="980"/>
      <c r="BA95" s="981"/>
      <c r="BB95" s="982" t="s">
        <v>809</v>
      </c>
      <c r="BC95" s="983"/>
      <c r="BD95" s="983"/>
      <c r="BE95" s="983"/>
      <c r="BF95" s="983"/>
      <c r="BG95" s="983"/>
      <c r="BH95" s="983"/>
      <c r="BI95" s="983"/>
      <c r="BJ95" s="1038"/>
      <c r="BK95" s="172"/>
    </row>
    <row r="96" spans="2:63" ht="7.5" customHeight="1" x14ac:dyDescent="0.3">
      <c r="B96" s="199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172"/>
    </row>
    <row r="97" spans="2:63" ht="20.100000000000001" customHeight="1" x14ac:dyDescent="0.3">
      <c r="B97" s="199"/>
      <c r="C97" s="989" t="s">
        <v>145</v>
      </c>
      <c r="D97" s="990"/>
      <c r="E97" s="990"/>
      <c r="F97" s="990"/>
      <c r="G97" s="990"/>
      <c r="H97" s="990"/>
      <c r="I97" s="990"/>
      <c r="J97" s="990"/>
      <c r="K97" s="990"/>
      <c r="L97" s="990"/>
      <c r="M97" s="990"/>
      <c r="N97" s="990"/>
      <c r="O97" s="990"/>
      <c r="P97" s="990"/>
      <c r="Q97" s="990"/>
      <c r="R97" s="990"/>
      <c r="S97" s="990"/>
      <c r="T97" s="990"/>
      <c r="U97" s="990"/>
      <c r="V97" s="990"/>
      <c r="W97" s="990"/>
      <c r="X97" s="990"/>
      <c r="Y97" s="990"/>
      <c r="Z97" s="990"/>
      <c r="AA97" s="990"/>
      <c r="AB97" s="990"/>
      <c r="AC97" s="990"/>
      <c r="AD97" s="991"/>
      <c r="AE97" s="992"/>
      <c r="AF97" s="993"/>
      <c r="AG97" s="994"/>
      <c r="AH97" s="138"/>
      <c r="AI97" s="775"/>
      <c r="AJ97" s="775"/>
      <c r="AK97" s="775"/>
      <c r="AL97" s="775"/>
      <c r="AM97" s="775"/>
      <c r="AN97" s="775"/>
      <c r="AO97" s="775"/>
      <c r="AP97" s="775"/>
      <c r="AQ97" s="775"/>
      <c r="AR97" s="775"/>
      <c r="AS97" s="775"/>
      <c r="AT97" s="775"/>
      <c r="AU97" s="775"/>
      <c r="AV97" s="775"/>
      <c r="AW97" s="775"/>
      <c r="AX97" s="775"/>
      <c r="AY97" s="775"/>
      <c r="AZ97" s="775"/>
      <c r="BA97" s="775"/>
      <c r="BB97" s="775"/>
      <c r="BC97" s="775"/>
      <c r="BD97" s="775"/>
      <c r="BE97" s="775"/>
      <c r="BF97" s="775"/>
      <c r="BG97" s="775"/>
      <c r="BH97" s="775"/>
      <c r="BI97" s="775"/>
      <c r="BJ97" s="775"/>
      <c r="BK97" s="172"/>
    </row>
    <row r="98" spans="2:63" ht="4.5" customHeight="1" x14ac:dyDescent="0.3">
      <c r="B98" s="199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172"/>
    </row>
    <row r="99" spans="2:63" ht="15.6" x14ac:dyDescent="0.3">
      <c r="B99" s="199"/>
      <c r="C99" s="1026" t="str">
        <f>IF(AND(AE97="Sim",OR(AG90&gt;112.5,AE94&gt;112.5,AE93&gt;112.5)),"Conforme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99" s="1027"/>
      <c r="E99" s="1027"/>
      <c r="F99" s="1027"/>
      <c r="G99" s="1027"/>
      <c r="H99" s="1027"/>
      <c r="I99" s="1027"/>
      <c r="J99" s="1027"/>
      <c r="K99" s="1027"/>
      <c r="L99" s="1027"/>
      <c r="M99" s="1027"/>
      <c r="N99" s="1027"/>
      <c r="O99" s="1027"/>
      <c r="P99" s="1027"/>
      <c r="Q99" s="1027"/>
      <c r="R99" s="1027"/>
      <c r="S99" s="1027"/>
      <c r="T99" s="1027"/>
      <c r="U99" s="1027"/>
      <c r="V99" s="1027"/>
      <c r="W99" s="1027"/>
      <c r="X99" s="1027"/>
      <c r="Y99" s="1027"/>
      <c r="Z99" s="1027"/>
      <c r="AA99" s="1027"/>
      <c r="AB99" s="1027"/>
      <c r="AC99" s="1027"/>
      <c r="AD99" s="1027"/>
      <c r="AE99" s="1027"/>
      <c r="AF99" s="1027"/>
      <c r="AG99" s="1027"/>
      <c r="AH99" s="1027"/>
      <c r="AI99" s="1027"/>
      <c r="AJ99" s="1027"/>
      <c r="AK99" s="1027"/>
      <c r="AL99" s="1027"/>
      <c r="AM99" s="1027"/>
      <c r="AN99" s="1027"/>
      <c r="AO99" s="1027"/>
      <c r="AP99" s="1027"/>
      <c r="AQ99" s="1027"/>
      <c r="AR99" s="1027"/>
      <c r="AS99" s="1027"/>
      <c r="AT99" s="1027"/>
      <c r="AU99" s="1027"/>
      <c r="AV99" s="1027"/>
      <c r="AW99" s="1027"/>
      <c r="AX99" s="1027"/>
      <c r="AY99" s="1027"/>
      <c r="AZ99" s="1027"/>
      <c r="BA99" s="1027"/>
      <c r="BB99" s="1027"/>
      <c r="BC99" s="1027"/>
      <c r="BD99" s="1027"/>
      <c r="BE99" s="1027"/>
      <c r="BF99" s="1027"/>
      <c r="BG99" s="1027"/>
      <c r="BH99" s="1027"/>
      <c r="BI99" s="1027"/>
      <c r="BJ99" s="1041"/>
      <c r="BK99" s="172"/>
    </row>
    <row r="100" spans="2:63" ht="5.0999999999999996" customHeight="1" x14ac:dyDescent="0.3">
      <c r="B100" s="199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172"/>
    </row>
    <row r="101" spans="2:63" ht="20.100000000000001" customHeight="1" x14ac:dyDescent="0.3">
      <c r="B101" s="199"/>
      <c r="C101" s="1028" t="s">
        <v>146</v>
      </c>
      <c r="D101" s="1028"/>
      <c r="E101" s="1028"/>
      <c r="F101" s="1028"/>
      <c r="G101" s="1028"/>
      <c r="H101" s="1028"/>
      <c r="I101" s="1028"/>
      <c r="J101" s="1028"/>
      <c r="K101" s="1028"/>
      <c r="L101" s="1028"/>
      <c r="M101" s="1028"/>
      <c r="N101" s="1028"/>
      <c r="O101" s="1028"/>
      <c r="P101" s="1028"/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986"/>
      <c r="AB101" s="986"/>
      <c r="AC101" s="986"/>
      <c r="AD101" s="986"/>
      <c r="AE101" s="986"/>
      <c r="AF101" s="979" t="s">
        <v>147</v>
      </c>
      <c r="AG101" s="980"/>
      <c r="AH101" s="980"/>
      <c r="AI101" s="980"/>
      <c r="AJ101" s="980"/>
      <c r="AK101" s="980"/>
      <c r="AL101" s="980"/>
      <c r="AM101" s="980"/>
      <c r="AN101" s="980"/>
      <c r="AO101" s="980"/>
      <c r="AP101" s="980"/>
      <c r="AQ101" s="981"/>
      <c r="AR101" s="986"/>
      <c r="AS101" s="986"/>
      <c r="AT101" s="986"/>
      <c r="AU101" s="1042"/>
      <c r="AV101" s="1043"/>
      <c r="AW101" s="1043"/>
      <c r="AX101" s="1043"/>
      <c r="AY101" s="1043"/>
      <c r="AZ101" s="1043"/>
      <c r="BA101" s="1043"/>
      <c r="BB101" s="1043"/>
      <c r="BC101" s="1043"/>
      <c r="BD101" s="1043"/>
      <c r="BE101" s="1043"/>
      <c r="BF101" s="1043"/>
      <c r="BG101" s="1043"/>
      <c r="BH101" s="1043"/>
      <c r="BI101" s="1043"/>
      <c r="BJ101" s="1044"/>
      <c r="BK101" s="172"/>
    </row>
    <row r="102" spans="2:63" ht="3.6" customHeight="1" x14ac:dyDescent="0.3">
      <c r="B102" s="199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172"/>
    </row>
    <row r="103" spans="2:63" ht="20.100000000000001" customHeight="1" x14ac:dyDescent="0.3">
      <c r="B103" s="199"/>
      <c r="C103" s="944" t="s">
        <v>148</v>
      </c>
      <c r="D103" s="945"/>
      <c r="E103" s="945"/>
      <c r="F103" s="945"/>
      <c r="G103" s="945"/>
      <c r="H103" s="945"/>
      <c r="I103" s="945"/>
      <c r="J103" s="945"/>
      <c r="K103" s="945"/>
      <c r="L103" s="945"/>
      <c r="M103" s="945"/>
      <c r="N103" s="945"/>
      <c r="O103" s="945"/>
      <c r="P103" s="946"/>
      <c r="Q103" s="259"/>
      <c r="R103" s="925" t="str">
        <f>IF(AA101="Verde","Demanda em kw*:","Demanda Ponta:*")</f>
        <v>Demanda Ponta:*</v>
      </c>
      <c r="S103" s="926"/>
      <c r="T103" s="926"/>
      <c r="U103" s="926"/>
      <c r="V103" s="926"/>
      <c r="W103" s="926"/>
      <c r="X103" s="926"/>
      <c r="Y103" s="926"/>
      <c r="Z103" s="926"/>
      <c r="AA103" s="926"/>
      <c r="AB103" s="926"/>
      <c r="AC103" s="926"/>
      <c r="AD103" s="927"/>
      <c r="AE103" s="36"/>
      <c r="AF103" s="934"/>
      <c r="AG103" s="934"/>
      <c r="AH103" s="934"/>
      <c r="AI103" s="934"/>
      <c r="AJ103" s="36"/>
      <c r="AK103" s="935"/>
      <c r="AL103" s="935"/>
      <c r="AM103" s="935"/>
      <c r="AN103" s="935"/>
      <c r="AO103" s="935"/>
      <c r="AP103" s="935"/>
      <c r="AQ103" s="935"/>
      <c r="AR103" s="935"/>
      <c r="AS103" s="141"/>
      <c r="AT103" s="936"/>
      <c r="AU103" s="936"/>
      <c r="AV103" s="936"/>
      <c r="AW103" s="936"/>
      <c r="AX103" s="36"/>
      <c r="AY103" s="937"/>
      <c r="AZ103" s="937"/>
      <c r="BA103" s="937"/>
      <c r="BB103" s="937"/>
      <c r="BC103" s="937"/>
      <c r="BD103" s="937"/>
      <c r="BE103" s="937"/>
      <c r="BF103" s="937"/>
      <c r="BG103" s="937"/>
      <c r="BH103" s="937"/>
      <c r="BI103" s="937"/>
      <c r="BJ103" s="937"/>
      <c r="BK103" s="172"/>
    </row>
    <row r="104" spans="2:63" ht="15.6" customHeight="1" x14ac:dyDescent="0.3">
      <c r="B104" s="199"/>
      <c r="C104" s="947"/>
      <c r="D104" s="948"/>
      <c r="E104" s="948"/>
      <c r="F104" s="948"/>
      <c r="G104" s="948"/>
      <c r="H104" s="948"/>
      <c r="I104" s="948"/>
      <c r="J104" s="948"/>
      <c r="K104" s="948"/>
      <c r="L104" s="948"/>
      <c r="M104" s="948"/>
      <c r="N104" s="948"/>
      <c r="O104" s="948"/>
      <c r="P104" s="949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140"/>
      <c r="AY104" s="937"/>
      <c r="AZ104" s="937"/>
      <c r="BA104" s="937"/>
      <c r="BB104" s="937"/>
      <c r="BC104" s="937"/>
      <c r="BD104" s="937"/>
      <c r="BE104" s="937"/>
      <c r="BF104" s="937"/>
      <c r="BG104" s="937"/>
      <c r="BH104" s="937"/>
      <c r="BI104" s="937"/>
      <c r="BJ104" s="937"/>
      <c r="BK104" s="172"/>
    </row>
    <row r="105" spans="2:63" ht="20.100000000000001" customHeight="1" x14ac:dyDescent="0.3">
      <c r="B105" s="199"/>
      <c r="C105" s="950"/>
      <c r="D105" s="951"/>
      <c r="E105" s="951"/>
      <c r="F105" s="951"/>
      <c r="G105" s="951"/>
      <c r="H105" s="951"/>
      <c r="I105" s="951"/>
      <c r="J105" s="951"/>
      <c r="K105" s="951"/>
      <c r="L105" s="951"/>
      <c r="M105" s="951"/>
      <c r="N105" s="951"/>
      <c r="O105" s="951"/>
      <c r="P105" s="952"/>
      <c r="Q105" s="138"/>
      <c r="R105" s="938" t="str">
        <f>IF(AA101="Verde","","Demanda Fora Ponta:*")</f>
        <v>Demanda Fora Ponta:*</v>
      </c>
      <c r="S105" s="939"/>
      <c r="T105" s="939"/>
      <c r="U105" s="939"/>
      <c r="V105" s="939"/>
      <c r="W105" s="939"/>
      <c r="X105" s="939"/>
      <c r="Y105" s="939"/>
      <c r="Z105" s="939"/>
      <c r="AA105" s="939"/>
      <c r="AB105" s="939"/>
      <c r="AC105" s="939"/>
      <c r="AD105" s="940"/>
      <c r="AE105" s="36"/>
      <c r="AF105" s="941"/>
      <c r="AG105" s="942"/>
      <c r="AH105" s="942"/>
      <c r="AI105" s="943"/>
      <c r="AJ105" s="36"/>
      <c r="AK105" s="1024"/>
      <c r="AL105" s="1024"/>
      <c r="AM105" s="1024"/>
      <c r="AN105" s="1024"/>
      <c r="AO105" s="1024"/>
      <c r="AP105" s="1024"/>
      <c r="AQ105" s="1024"/>
      <c r="AR105" s="1024"/>
      <c r="AS105" s="141"/>
      <c r="AT105" s="936"/>
      <c r="AU105" s="936"/>
      <c r="AV105" s="936"/>
      <c r="AW105" s="936"/>
      <c r="AX105" s="140"/>
      <c r="AY105" s="937"/>
      <c r="AZ105" s="937"/>
      <c r="BA105" s="937"/>
      <c r="BB105" s="937"/>
      <c r="BC105" s="937"/>
      <c r="BD105" s="937"/>
      <c r="BE105" s="937"/>
      <c r="BF105" s="937"/>
      <c r="BG105" s="937"/>
      <c r="BH105" s="937"/>
      <c r="BI105" s="937"/>
      <c r="BJ105" s="937"/>
      <c r="BK105" s="172"/>
    </row>
    <row r="106" spans="2:63" ht="4.5" customHeight="1" x14ac:dyDescent="0.3">
      <c r="B106" s="199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172"/>
    </row>
    <row r="107" spans="2:63" x14ac:dyDescent="0.3">
      <c r="B107" s="199"/>
      <c r="C107" s="1025" t="s">
        <v>149</v>
      </c>
      <c r="D107" s="988"/>
      <c r="E107" s="988"/>
      <c r="F107" s="988"/>
      <c r="G107" s="988"/>
      <c r="H107" s="988"/>
      <c r="I107" s="988"/>
      <c r="J107" s="988"/>
      <c r="K107" s="988"/>
      <c r="L107" s="988"/>
      <c r="M107" s="988"/>
      <c r="N107" s="988"/>
      <c r="O107" s="988"/>
      <c r="P107" s="988"/>
      <c r="Q107" s="988"/>
      <c r="R107" s="988"/>
      <c r="S107" s="988"/>
      <c r="T107" s="988"/>
      <c r="U107" s="988"/>
      <c r="V107" s="988"/>
      <c r="W107" s="988"/>
      <c r="X107" s="988"/>
      <c r="Y107" s="988"/>
      <c r="Z107" s="988"/>
      <c r="AA107" s="988"/>
      <c r="AB107" s="988"/>
      <c r="AC107" s="988"/>
      <c r="AD107" s="988"/>
      <c r="AE107" s="988"/>
      <c r="AF107" s="988"/>
      <c r="AG107" s="988"/>
      <c r="AH107" s="988"/>
      <c r="AI107" s="988"/>
      <c r="AJ107" s="988"/>
      <c r="AK107" s="988"/>
      <c r="AL107" s="988"/>
      <c r="AM107" s="988"/>
      <c r="AN107" s="988"/>
      <c r="AO107" s="988"/>
      <c r="AP107" s="988"/>
      <c r="AQ107" s="988"/>
      <c r="AR107" s="988"/>
      <c r="AS107" s="988"/>
      <c r="AT107" s="988"/>
      <c r="AU107" s="988"/>
      <c r="AV107" s="988"/>
      <c r="AW107" s="988"/>
      <c r="AX107" s="988"/>
      <c r="AY107" s="988"/>
      <c r="AZ107" s="988"/>
      <c r="BA107" s="988"/>
      <c r="BB107" s="988"/>
      <c r="BC107" s="988"/>
      <c r="BD107" s="988"/>
      <c r="BE107" s="988"/>
      <c r="BF107" s="988"/>
      <c r="BG107" s="988"/>
      <c r="BH107" s="988"/>
      <c r="BI107" s="988"/>
      <c r="BJ107" s="1045"/>
      <c r="BK107" s="172"/>
    </row>
    <row r="108" spans="2:63" ht="20.100000000000001" customHeight="1" x14ac:dyDescent="0.3">
      <c r="B108" s="199"/>
      <c r="C108" s="917" t="str" cm="1">
        <f t="array" ref="C108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108" s="917"/>
      <c r="E108" s="917"/>
      <c r="F108" s="917"/>
      <c r="G108" s="917"/>
      <c r="H108" s="917"/>
      <c r="I108" s="917"/>
      <c r="J108" s="917"/>
      <c r="K108" s="917"/>
      <c r="L108" s="917"/>
      <c r="M108" s="917"/>
      <c r="N108" s="917"/>
      <c r="O108" s="917"/>
      <c r="P108" s="917"/>
      <c r="Q108" s="972"/>
      <c r="R108" s="917" t="str">
        <f>IF(AND(AR101="Sim",AA101="Azul"),"Demanda ponta?:","")</f>
        <v/>
      </c>
      <c r="S108" s="917"/>
      <c r="T108" s="917"/>
      <c r="U108" s="917"/>
      <c r="V108" s="917"/>
      <c r="W108" s="917"/>
      <c r="X108" s="917"/>
      <c r="Y108" s="918"/>
      <c r="Z108" s="918"/>
      <c r="AA108" s="918"/>
      <c r="AB108" s="918"/>
      <c r="AC108" s="918"/>
      <c r="AD108" s="918"/>
      <c r="AE108" s="918"/>
      <c r="AF108" s="953" t="str">
        <f>IF(AND(AR101="Sim",AA101="Azul"),"Demanda fora de ponta?:","")</f>
        <v/>
      </c>
      <c r="AG108" s="954"/>
      <c r="AH108" s="954"/>
      <c r="AI108" s="954"/>
      <c r="AJ108" s="954"/>
      <c r="AK108" s="954"/>
      <c r="AL108" s="954"/>
      <c r="AM108" s="954"/>
      <c r="AN108" s="954"/>
      <c r="AO108" s="955"/>
      <c r="AP108" s="956"/>
      <c r="AQ108" s="957"/>
      <c r="AR108" s="957"/>
      <c r="AS108" s="957"/>
      <c r="AT108" s="957"/>
      <c r="AU108" s="957"/>
      <c r="AV108" s="958"/>
      <c r="AW108" s="959" t="str">
        <f>IF(AR101="Sim","Início de Uso:*","")</f>
        <v/>
      </c>
      <c r="AX108" s="959"/>
      <c r="AY108" s="959"/>
      <c r="AZ108" s="959"/>
      <c r="BA108" s="959"/>
      <c r="BB108" s="959"/>
      <c r="BC108" s="960"/>
      <c r="BD108" s="960"/>
      <c r="BE108" s="960"/>
      <c r="BF108" s="960"/>
      <c r="BG108" s="960"/>
      <c r="BH108" s="960"/>
      <c r="BI108" s="960"/>
      <c r="BJ108" s="960"/>
      <c r="BK108" s="172"/>
    </row>
    <row r="109" spans="2:63" ht="20.100000000000001" customHeight="1" x14ac:dyDescent="0.3">
      <c r="B109" s="199"/>
      <c r="C109" s="917" t="str" cm="1">
        <f t="array" ref="C109">_xlfn.IFS(AND('Formulário MT'!$AD$34&lt;&gt;"Conexão Nova",AR101="Sim"),"Demanda contratada futura KW:**",AND('Formulário MT'!$AD$34="Conexão Nova",AR101="Sim"),"Demanda contratada KW:*",TRUE,"demanda escalonada")</f>
        <v>demanda escalonada</v>
      </c>
      <c r="D109" s="917"/>
      <c r="E109" s="917"/>
      <c r="F109" s="917"/>
      <c r="G109" s="917"/>
      <c r="H109" s="917"/>
      <c r="I109" s="917"/>
      <c r="J109" s="917"/>
      <c r="K109" s="917"/>
      <c r="L109" s="917"/>
      <c r="M109" s="917"/>
      <c r="N109" s="917"/>
      <c r="O109" s="917"/>
      <c r="P109" s="917"/>
      <c r="Q109" s="972"/>
      <c r="R109" s="917" t="str">
        <f>IF(AND(AR101="Sim",AA101="Azul"),"Demanda ponta?:","")</f>
        <v/>
      </c>
      <c r="S109" s="917"/>
      <c r="T109" s="917"/>
      <c r="U109" s="917"/>
      <c r="V109" s="917"/>
      <c r="W109" s="917"/>
      <c r="X109" s="917"/>
      <c r="Y109" s="918"/>
      <c r="Z109" s="918"/>
      <c r="AA109" s="918"/>
      <c r="AB109" s="918"/>
      <c r="AC109" s="918"/>
      <c r="AD109" s="918"/>
      <c r="AE109" s="918"/>
      <c r="AF109" s="953" t="str">
        <f>IF(AND(AR101="Sim",AA101="Azul"),"Demanda fora de ponta?:","")</f>
        <v/>
      </c>
      <c r="AG109" s="954"/>
      <c r="AH109" s="954"/>
      <c r="AI109" s="954"/>
      <c r="AJ109" s="954"/>
      <c r="AK109" s="954"/>
      <c r="AL109" s="954"/>
      <c r="AM109" s="954"/>
      <c r="AN109" s="954"/>
      <c r="AO109" s="955"/>
      <c r="AP109" s="956"/>
      <c r="AQ109" s="957"/>
      <c r="AR109" s="957"/>
      <c r="AS109" s="957"/>
      <c r="AT109" s="957"/>
      <c r="AU109" s="957"/>
      <c r="AV109" s="958"/>
      <c r="AW109" s="959" t="str">
        <f>IF(AR101="Sim","Início de Uso:*","")</f>
        <v/>
      </c>
      <c r="AX109" s="959"/>
      <c r="AY109" s="959"/>
      <c r="AZ109" s="959"/>
      <c r="BA109" s="959"/>
      <c r="BB109" s="959"/>
      <c r="BC109" s="960"/>
      <c r="BD109" s="960"/>
      <c r="BE109" s="960"/>
      <c r="BF109" s="960"/>
      <c r="BG109" s="960"/>
      <c r="BH109" s="960"/>
      <c r="BI109" s="960"/>
      <c r="BJ109" s="960"/>
      <c r="BK109" s="172"/>
    </row>
    <row r="110" spans="2:63" ht="20.100000000000001" customHeight="1" x14ac:dyDescent="0.3">
      <c r="B110" s="199"/>
      <c r="C110" s="917" t="str" cm="1">
        <f t="array" ref="C110">_xlfn.IFS(AND('Formulário MT'!$AD$34&lt;&gt;"Conexão Nova",AR101="Sim"),"Demanda contratada futura KW:**",AND('Formulário MT'!$AD$34="Conexão Nova",AR101="Sim"),"Demanda contratada KW:*",TRUE,"")</f>
        <v/>
      </c>
      <c r="D110" s="917"/>
      <c r="E110" s="917"/>
      <c r="F110" s="917"/>
      <c r="G110" s="917"/>
      <c r="H110" s="917"/>
      <c r="I110" s="917"/>
      <c r="J110" s="917"/>
      <c r="K110" s="917"/>
      <c r="L110" s="917"/>
      <c r="M110" s="917"/>
      <c r="N110" s="917"/>
      <c r="O110" s="917"/>
      <c r="P110" s="917"/>
      <c r="Q110" s="972"/>
      <c r="R110" s="917" t="str">
        <f>IF(AND(AR101="Sim",AA101="Azul"),"Demanda ponta?:","")</f>
        <v/>
      </c>
      <c r="S110" s="917"/>
      <c r="T110" s="917"/>
      <c r="U110" s="917"/>
      <c r="V110" s="917"/>
      <c r="W110" s="917"/>
      <c r="X110" s="917"/>
      <c r="Y110" s="918"/>
      <c r="Z110" s="918"/>
      <c r="AA110" s="918"/>
      <c r="AB110" s="918"/>
      <c r="AC110" s="918"/>
      <c r="AD110" s="918"/>
      <c r="AE110" s="918"/>
      <c r="AF110" s="953" t="str">
        <f>IF(AND(AR101="Sim",AA101="Azul"),"Demanda fora de ponta?:","")</f>
        <v/>
      </c>
      <c r="AG110" s="954"/>
      <c r="AH110" s="954"/>
      <c r="AI110" s="954"/>
      <c r="AJ110" s="954"/>
      <c r="AK110" s="954"/>
      <c r="AL110" s="954"/>
      <c r="AM110" s="954"/>
      <c r="AN110" s="954"/>
      <c r="AO110" s="955"/>
      <c r="AP110" s="956"/>
      <c r="AQ110" s="957"/>
      <c r="AR110" s="957"/>
      <c r="AS110" s="957"/>
      <c r="AT110" s="957"/>
      <c r="AU110" s="957"/>
      <c r="AV110" s="958"/>
      <c r="AW110" s="959" t="str">
        <f>IF(AR101="Sim","Início de Uso:*","")</f>
        <v/>
      </c>
      <c r="AX110" s="959"/>
      <c r="AY110" s="959"/>
      <c r="AZ110" s="959"/>
      <c r="BA110" s="959"/>
      <c r="BB110" s="959"/>
      <c r="BC110" s="960"/>
      <c r="BD110" s="960"/>
      <c r="BE110" s="960"/>
      <c r="BF110" s="960"/>
      <c r="BG110" s="960"/>
      <c r="BH110" s="960"/>
      <c r="BI110" s="960"/>
      <c r="BJ110" s="960"/>
      <c r="BK110" s="172"/>
    </row>
    <row r="111" spans="2:63" ht="20.100000000000001" customHeight="1" x14ac:dyDescent="0.3">
      <c r="B111" s="199"/>
      <c r="C111" s="917" t="str" cm="1">
        <f t="array" ref="C111">_xlfn.IFS(AND('Formulário MT'!$AD$34&lt;&gt;"Conexão Nova",AR101="Sim"),"Demanda contratada futura KW:**",AND('Formulário MT'!$AD$34="Conexão Nova",AR101="Sim"),"Demanda contratada KW:*",TRUE,"")</f>
        <v/>
      </c>
      <c r="D111" s="917"/>
      <c r="E111" s="917"/>
      <c r="F111" s="917"/>
      <c r="G111" s="917"/>
      <c r="H111" s="917"/>
      <c r="I111" s="917"/>
      <c r="J111" s="917"/>
      <c r="K111" s="917"/>
      <c r="L111" s="917"/>
      <c r="M111" s="917"/>
      <c r="N111" s="917"/>
      <c r="O111" s="917"/>
      <c r="P111" s="917"/>
      <c r="Q111" s="972"/>
      <c r="R111" s="917" t="str">
        <f>IF(AND(AR101="Sim",AA101="Azul"),"Demanda ponta?:","")</f>
        <v/>
      </c>
      <c r="S111" s="917"/>
      <c r="T111" s="917"/>
      <c r="U111" s="917"/>
      <c r="V111" s="917"/>
      <c r="W111" s="917"/>
      <c r="X111" s="917"/>
      <c r="Y111" s="918"/>
      <c r="Z111" s="918"/>
      <c r="AA111" s="918"/>
      <c r="AB111" s="918"/>
      <c r="AC111" s="918"/>
      <c r="AD111" s="918"/>
      <c r="AE111" s="918"/>
      <c r="AF111" s="973" t="str">
        <f>IF(AND(AR101="Sim",AA101="Azul"),"Demanda fora de ponta?:","")</f>
        <v/>
      </c>
      <c r="AG111" s="973"/>
      <c r="AH111" s="973"/>
      <c r="AI111" s="973"/>
      <c r="AJ111" s="973"/>
      <c r="AK111" s="973"/>
      <c r="AL111" s="973"/>
      <c r="AM111" s="973"/>
      <c r="AN111" s="973"/>
      <c r="AO111" s="973"/>
      <c r="AP111" s="956"/>
      <c r="AQ111" s="957"/>
      <c r="AR111" s="957"/>
      <c r="AS111" s="957"/>
      <c r="AT111" s="957"/>
      <c r="AU111" s="957"/>
      <c r="AV111" s="958"/>
      <c r="AW111" s="959" t="str">
        <f>IF(AR101="Sim","Início de Uso:*","")</f>
        <v/>
      </c>
      <c r="AX111" s="959"/>
      <c r="AY111" s="959"/>
      <c r="AZ111" s="959"/>
      <c r="BA111" s="959"/>
      <c r="BB111" s="959"/>
      <c r="BC111" s="960"/>
      <c r="BD111" s="960"/>
      <c r="BE111" s="960"/>
      <c r="BF111" s="960"/>
      <c r="BG111" s="960"/>
      <c r="BH111" s="960"/>
      <c r="BI111" s="960"/>
      <c r="BJ111" s="960"/>
      <c r="BK111" s="172"/>
    </row>
    <row r="112" spans="2:63" ht="3.9" customHeight="1" x14ac:dyDescent="0.3">
      <c r="B112" s="199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172"/>
    </row>
    <row r="113" spans="2:63" ht="0.6" customHeight="1" x14ac:dyDescent="0.3">
      <c r="B113" s="199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100"/>
      <c r="AP113" s="100"/>
      <c r="AQ113" s="100"/>
      <c r="AR113" s="100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172"/>
    </row>
    <row r="114" spans="2:63" ht="20.100000000000001" customHeight="1" x14ac:dyDescent="0.3">
      <c r="B114" s="199"/>
      <c r="C114" s="962" t="s">
        <v>152</v>
      </c>
      <c r="D114" s="963"/>
      <c r="E114" s="963"/>
      <c r="F114" s="963"/>
      <c r="G114" s="963"/>
      <c r="H114" s="963"/>
      <c r="I114" s="963"/>
      <c r="J114" s="963"/>
      <c r="K114" s="963"/>
      <c r="L114" s="963"/>
      <c r="M114" s="963"/>
      <c r="N114" s="963"/>
      <c r="O114" s="963"/>
      <c r="P114" s="963"/>
      <c r="Q114" s="963"/>
      <c r="R114" s="963"/>
      <c r="S114" s="963"/>
      <c r="T114" s="963"/>
      <c r="U114" s="963"/>
      <c r="V114" s="963"/>
      <c r="W114" s="963"/>
      <c r="X114" s="963"/>
      <c r="Y114" s="963"/>
      <c r="Z114" s="963"/>
      <c r="AA114" s="963"/>
      <c r="AB114" s="963"/>
      <c r="AC114" s="963"/>
      <c r="AD114" s="963"/>
      <c r="AE114" s="963"/>
      <c r="AF114" s="963"/>
      <c r="AG114" s="963"/>
      <c r="AH114" s="963"/>
      <c r="AI114" s="963"/>
      <c r="AJ114" s="963"/>
      <c r="AK114" s="964"/>
      <c r="AL114" s="965"/>
      <c r="AM114" s="966"/>
      <c r="AN114" s="967"/>
      <c r="AO114" s="968" t="str">
        <f>IF(AL114="Sim","Informar potência da geração:","")</f>
        <v/>
      </c>
      <c r="AP114" s="969"/>
      <c r="AQ114" s="969"/>
      <c r="AR114" s="969"/>
      <c r="AS114" s="969"/>
      <c r="AT114" s="969"/>
      <c r="AU114" s="969"/>
      <c r="AV114" s="969"/>
      <c r="AW114" s="969"/>
      <c r="AX114" s="969"/>
      <c r="AY114" s="969"/>
      <c r="AZ114" s="969"/>
      <c r="BA114" s="969"/>
      <c r="BB114" s="969"/>
      <c r="BC114" s="969"/>
      <c r="BD114" s="969"/>
      <c r="BE114" s="969"/>
      <c r="BF114" s="970"/>
      <c r="BG114" s="971"/>
      <c r="BH114" s="971"/>
      <c r="BI114" s="971"/>
      <c r="BJ114" s="1047"/>
      <c r="BK114" s="172"/>
    </row>
    <row r="115" spans="2:63" ht="2.4" customHeight="1" x14ac:dyDescent="0.3">
      <c r="B115" s="199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94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172"/>
    </row>
    <row r="116" spans="2:63" ht="20.100000000000001" customHeight="1" x14ac:dyDescent="0.3">
      <c r="B116" s="199"/>
      <c r="C116" s="968" t="s">
        <v>153</v>
      </c>
      <c r="D116" s="969"/>
      <c r="E116" s="969"/>
      <c r="F116" s="969"/>
      <c r="G116" s="969"/>
      <c r="H116" s="969"/>
      <c r="I116" s="969"/>
      <c r="J116" s="969"/>
      <c r="K116" s="969"/>
      <c r="L116" s="969"/>
      <c r="M116" s="969"/>
      <c r="N116" s="969"/>
      <c r="O116" s="969"/>
      <c r="P116" s="969"/>
      <c r="Q116" s="969"/>
      <c r="R116" s="969"/>
      <c r="S116" s="969"/>
      <c r="T116" s="969"/>
      <c r="U116" s="969"/>
      <c r="V116" s="969"/>
      <c r="W116" s="969"/>
      <c r="X116" s="969"/>
      <c r="Y116" s="969"/>
      <c r="Z116" s="969"/>
      <c r="AA116" s="969"/>
      <c r="AB116" s="969"/>
      <c r="AC116" s="969"/>
      <c r="AD116" s="969"/>
      <c r="AE116" s="969"/>
      <c r="AF116" s="969"/>
      <c r="AG116" s="969"/>
      <c r="AH116" s="969"/>
      <c r="AI116" s="969"/>
      <c r="AJ116" s="969"/>
      <c r="AK116" s="978"/>
      <c r="AL116" s="965"/>
      <c r="AM116" s="966"/>
      <c r="AN116" s="967"/>
      <c r="AO116" s="968" t="str">
        <f>IF(AL116="Sim","Informar potência da geração:","")</f>
        <v/>
      </c>
      <c r="AP116" s="969"/>
      <c r="AQ116" s="969"/>
      <c r="AR116" s="969"/>
      <c r="AS116" s="969"/>
      <c r="AT116" s="969"/>
      <c r="AU116" s="969"/>
      <c r="AV116" s="969"/>
      <c r="AW116" s="969"/>
      <c r="AX116" s="969"/>
      <c r="AY116" s="969"/>
      <c r="AZ116" s="969"/>
      <c r="BA116" s="969"/>
      <c r="BB116" s="969"/>
      <c r="BC116" s="969"/>
      <c r="BD116" s="969"/>
      <c r="BE116" s="969"/>
      <c r="BF116" s="984"/>
      <c r="BG116" s="985"/>
      <c r="BH116" s="985"/>
      <c r="BI116" s="985"/>
      <c r="BJ116" s="1046"/>
      <c r="BK116" s="172"/>
    </row>
    <row r="117" spans="2:63" ht="15" thickBot="1" x14ac:dyDescent="0.35">
      <c r="B117" s="201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3"/>
    </row>
    <row r="118" spans="2:63" x14ac:dyDescent="0.3">
      <c r="B118" s="194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6"/>
    </row>
    <row r="119" spans="2:63" ht="15.6" x14ac:dyDescent="0.3">
      <c r="B119" s="199"/>
      <c r="C119" s="357" t="s">
        <v>803</v>
      </c>
      <c r="D119" s="256"/>
      <c r="E119" s="256"/>
      <c r="F119" s="256"/>
      <c r="G119" s="256">
        <f>($C$2+G62)</f>
        <v>4</v>
      </c>
      <c r="H119" s="358" t="s">
        <v>797</v>
      </c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7"/>
      <c r="U119" s="959" t="s">
        <v>798</v>
      </c>
      <c r="V119" s="959"/>
      <c r="W119" s="959"/>
      <c r="X119" s="959"/>
      <c r="Y119" s="959"/>
      <c r="Z119" s="906"/>
      <c r="AA119" s="906"/>
      <c r="AB119" s="906"/>
      <c r="AC119" s="906"/>
      <c r="AD119" s="906"/>
      <c r="AE119" s="906"/>
      <c r="AF119" s="906"/>
      <c r="AG119" s="906"/>
      <c r="AH119" s="906"/>
      <c r="AI119" s="906"/>
      <c r="AJ119" s="192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7"/>
      <c r="BK119" s="172"/>
    </row>
    <row r="120" spans="2:63" ht="3.9" customHeight="1" x14ac:dyDescent="0.3">
      <c r="B120" s="199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172"/>
    </row>
    <row r="121" spans="2:63" ht="17.399999999999999" x14ac:dyDescent="0.3">
      <c r="B121" s="199"/>
      <c r="C121" s="886" t="s">
        <v>804</v>
      </c>
      <c r="D121" s="887"/>
      <c r="E121" s="887"/>
      <c r="F121" s="887"/>
      <c r="G121" s="887"/>
      <c r="H121" s="887"/>
      <c r="I121" s="887"/>
      <c r="J121" s="887"/>
      <c r="K121" s="887"/>
      <c r="L121" s="887"/>
      <c r="M121" s="887"/>
      <c r="N121" s="887"/>
      <c r="O121" s="887"/>
      <c r="P121" s="887"/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  <c r="AA121" s="887"/>
      <c r="AB121" s="887"/>
      <c r="AC121" s="887"/>
      <c r="AD121" s="888"/>
      <c r="AE121" s="135"/>
      <c r="AF121" s="135"/>
      <c r="AG121" s="135"/>
      <c r="AH121" s="135"/>
      <c r="AI121" s="889" t="s">
        <v>805</v>
      </c>
      <c r="AJ121" s="889"/>
      <c r="AK121" s="889"/>
      <c r="AL121" s="889"/>
      <c r="AM121" s="889"/>
      <c r="AN121" s="889"/>
      <c r="AO121" s="889"/>
      <c r="AP121" s="889"/>
      <c r="AQ121" s="889"/>
      <c r="AR121" s="889"/>
      <c r="AS121" s="889"/>
      <c r="AT121" s="889"/>
      <c r="AU121" s="889"/>
      <c r="AV121" s="889"/>
      <c r="AW121" s="889"/>
      <c r="AX121" s="889"/>
      <c r="AY121" s="889"/>
      <c r="AZ121" s="889"/>
      <c r="BA121" s="889"/>
      <c r="BB121" s="889"/>
      <c r="BC121" s="889"/>
      <c r="BD121" s="889"/>
      <c r="BE121" s="889"/>
      <c r="BF121" s="889"/>
      <c r="BG121" s="889"/>
      <c r="BH121" s="889"/>
      <c r="BI121" s="889"/>
      <c r="BJ121" s="889"/>
      <c r="BK121" s="172"/>
    </row>
    <row r="122" spans="2:63" ht="3.9" customHeight="1" x14ac:dyDescent="0.3">
      <c r="B122" s="199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172"/>
    </row>
    <row r="123" spans="2:63" ht="20.100000000000001" customHeight="1" x14ac:dyDescent="0.3">
      <c r="B123" s="199"/>
      <c r="C123" s="873" t="s">
        <v>81</v>
      </c>
      <c r="D123" s="874"/>
      <c r="E123" s="874"/>
      <c r="F123" s="874"/>
      <c r="G123" s="874"/>
      <c r="H123" s="890" t="s">
        <v>806</v>
      </c>
      <c r="I123" s="891"/>
      <c r="J123" s="891"/>
      <c r="K123" s="891"/>
      <c r="L123" s="891"/>
      <c r="M123" s="873" t="s">
        <v>83</v>
      </c>
      <c r="N123" s="874"/>
      <c r="O123" s="874"/>
      <c r="P123" s="874"/>
      <c r="Q123" s="874"/>
      <c r="R123" s="892" t="s">
        <v>807</v>
      </c>
      <c r="S123" s="893"/>
      <c r="T123" s="893"/>
      <c r="U123" s="893"/>
      <c r="V123" s="894"/>
      <c r="W123" s="895" t="s">
        <v>84</v>
      </c>
      <c r="X123" s="896"/>
      <c r="Y123" s="896"/>
      <c r="Z123" s="896"/>
      <c r="AA123" s="896"/>
      <c r="AB123" s="896"/>
      <c r="AC123" s="896"/>
      <c r="AD123" s="897"/>
      <c r="AE123" s="134"/>
      <c r="AF123" s="134"/>
      <c r="AG123" s="134"/>
      <c r="AH123" s="134"/>
      <c r="AI123" s="898" t="s">
        <v>85</v>
      </c>
      <c r="AJ123" s="898"/>
      <c r="AK123" s="898"/>
      <c r="AL123" s="898"/>
      <c r="AM123" s="898"/>
      <c r="AN123" s="898"/>
      <c r="AO123" s="898"/>
      <c r="AP123" s="898"/>
      <c r="AQ123" s="898"/>
      <c r="AR123" s="898"/>
      <c r="AS123" s="898"/>
      <c r="AT123" s="898"/>
      <c r="AU123" s="898"/>
      <c r="AV123" s="898"/>
      <c r="AW123" s="898"/>
      <c r="AX123" s="898"/>
      <c r="AY123" s="898"/>
      <c r="AZ123" s="898"/>
      <c r="BA123" s="898"/>
      <c r="BB123" s="898"/>
      <c r="BC123" s="898"/>
      <c r="BD123" s="898"/>
      <c r="BE123" s="898"/>
      <c r="BF123" s="898"/>
      <c r="BG123" s="898"/>
      <c r="BH123" s="898"/>
      <c r="BI123" s="898"/>
      <c r="BJ123" s="898"/>
      <c r="BK123" s="172"/>
    </row>
    <row r="124" spans="2:63" ht="20.100000000000001" customHeight="1" x14ac:dyDescent="0.3">
      <c r="B124" s="199"/>
      <c r="C124" s="873" t="s">
        <v>86</v>
      </c>
      <c r="D124" s="874"/>
      <c r="E124" s="874"/>
      <c r="F124" s="874"/>
      <c r="G124" s="874"/>
      <c r="H124" s="899"/>
      <c r="I124" s="900"/>
      <c r="J124" s="900"/>
      <c r="K124" s="900"/>
      <c r="L124" s="901"/>
      <c r="M124" s="902"/>
      <c r="N124" s="903"/>
      <c r="O124" s="903"/>
      <c r="P124" s="903"/>
      <c r="Q124" s="903"/>
      <c r="R124" s="880"/>
      <c r="S124" s="881"/>
      <c r="T124" s="881"/>
      <c r="U124" s="881"/>
      <c r="V124" s="882"/>
      <c r="W124" s="904"/>
      <c r="X124" s="879"/>
      <c r="Y124" s="879"/>
      <c r="Z124" s="879"/>
      <c r="AA124" s="879"/>
      <c r="AB124" s="879"/>
      <c r="AC124" s="879"/>
      <c r="AD124" s="905"/>
      <c r="AE124" s="133"/>
      <c r="AF124" s="133"/>
      <c r="AG124" s="133"/>
      <c r="AH124" s="133"/>
      <c r="AI124" s="898"/>
      <c r="AJ124" s="898"/>
      <c r="AK124" s="898"/>
      <c r="AL124" s="898"/>
      <c r="AM124" s="898"/>
      <c r="AN124" s="898"/>
      <c r="AO124" s="898"/>
      <c r="AP124" s="898"/>
      <c r="AQ124" s="898"/>
      <c r="AR124" s="898"/>
      <c r="AS124" s="898"/>
      <c r="AT124" s="898"/>
      <c r="AU124" s="898"/>
      <c r="AV124" s="898"/>
      <c r="AW124" s="898"/>
      <c r="AX124" s="898"/>
      <c r="AY124" s="898"/>
      <c r="AZ124" s="898"/>
      <c r="BA124" s="898"/>
      <c r="BB124" s="898"/>
      <c r="BC124" s="898"/>
      <c r="BD124" s="898"/>
      <c r="BE124" s="898"/>
      <c r="BF124" s="898"/>
      <c r="BG124" s="898"/>
      <c r="BH124" s="898"/>
      <c r="BI124" s="898"/>
      <c r="BJ124" s="898"/>
      <c r="BK124" s="172"/>
    </row>
    <row r="125" spans="2:63" ht="20.100000000000001" customHeight="1" x14ac:dyDescent="0.3">
      <c r="B125" s="199"/>
      <c r="C125" s="873" t="s">
        <v>87</v>
      </c>
      <c r="D125" s="874"/>
      <c r="E125" s="874"/>
      <c r="F125" s="874"/>
      <c r="G125" s="874"/>
      <c r="H125" s="875"/>
      <c r="I125" s="876"/>
      <c r="J125" s="876"/>
      <c r="K125" s="876"/>
      <c r="L125" s="877"/>
      <c r="M125" s="878"/>
      <c r="N125" s="879"/>
      <c r="O125" s="879"/>
      <c r="P125" s="879"/>
      <c r="Q125" s="879"/>
      <c r="R125" s="880"/>
      <c r="S125" s="881"/>
      <c r="T125" s="881"/>
      <c r="U125" s="881"/>
      <c r="V125" s="882"/>
      <c r="W125" s="883"/>
      <c r="X125" s="884"/>
      <c r="Y125" s="884"/>
      <c r="Z125" s="884"/>
      <c r="AA125" s="884"/>
      <c r="AB125" s="884"/>
      <c r="AC125" s="884"/>
      <c r="AD125" s="885"/>
      <c r="AE125" s="133"/>
      <c r="AF125" s="133"/>
      <c r="AG125" s="133"/>
      <c r="AH125" s="133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172"/>
    </row>
    <row r="126" spans="2:63" ht="20.100000000000001" customHeight="1" x14ac:dyDescent="0.3">
      <c r="B126" s="199"/>
      <c r="C126" s="873" t="s">
        <v>88</v>
      </c>
      <c r="D126" s="874"/>
      <c r="E126" s="874"/>
      <c r="F126" s="874"/>
      <c r="G126" s="874"/>
      <c r="H126" s="875"/>
      <c r="I126" s="876"/>
      <c r="J126" s="876"/>
      <c r="K126" s="876"/>
      <c r="L126" s="877"/>
      <c r="M126" s="878"/>
      <c r="N126" s="879"/>
      <c r="O126" s="879"/>
      <c r="P126" s="879"/>
      <c r="Q126" s="879"/>
      <c r="R126" s="880"/>
      <c r="S126" s="881"/>
      <c r="T126" s="881"/>
      <c r="U126" s="881"/>
      <c r="V126" s="882"/>
      <c r="W126" s="883"/>
      <c r="X126" s="884"/>
      <c r="Y126" s="884"/>
      <c r="Z126" s="884"/>
      <c r="AA126" s="884"/>
      <c r="AB126" s="884"/>
      <c r="AC126" s="884"/>
      <c r="AD126" s="885"/>
      <c r="AE126" s="133"/>
      <c r="AF126" s="133"/>
      <c r="AG126" s="133"/>
      <c r="AH126" s="133"/>
      <c r="AI126" s="908" t="s">
        <v>89</v>
      </c>
      <c r="AJ126" s="908"/>
      <c r="AK126" s="908"/>
      <c r="AL126" s="908"/>
      <c r="AM126" s="908"/>
      <c r="AN126" s="908"/>
      <c r="AO126" s="908"/>
      <c r="AP126" s="908"/>
      <c r="AQ126" s="908"/>
      <c r="AR126" s="908"/>
      <c r="AS126" s="908"/>
      <c r="AT126" s="908"/>
      <c r="AU126" s="908"/>
      <c r="AV126" s="908"/>
      <c r="AW126" s="908"/>
      <c r="AX126" s="908"/>
      <c r="AY126" s="908"/>
      <c r="AZ126" s="908"/>
      <c r="BA126" s="723"/>
      <c r="BB126" s="723"/>
      <c r="BC126" s="723"/>
      <c r="BD126" s="723"/>
      <c r="BE126" s="723"/>
      <c r="BF126" s="723"/>
      <c r="BG126" s="723"/>
      <c r="BH126" s="723"/>
      <c r="BI126" s="723"/>
      <c r="BJ126" s="723"/>
      <c r="BK126" s="172"/>
    </row>
    <row r="127" spans="2:63" ht="20.100000000000001" customHeight="1" x14ac:dyDescent="0.3">
      <c r="B127" s="199"/>
      <c r="C127" s="873" t="s">
        <v>90</v>
      </c>
      <c r="D127" s="874"/>
      <c r="E127" s="874"/>
      <c r="F127" s="874"/>
      <c r="G127" s="874"/>
      <c r="H127" s="875"/>
      <c r="I127" s="876"/>
      <c r="J127" s="876"/>
      <c r="K127" s="876"/>
      <c r="L127" s="877"/>
      <c r="M127" s="878"/>
      <c r="N127" s="879"/>
      <c r="O127" s="879"/>
      <c r="P127" s="879"/>
      <c r="Q127" s="879"/>
      <c r="R127" s="880"/>
      <c r="S127" s="881"/>
      <c r="T127" s="881"/>
      <c r="U127" s="881"/>
      <c r="V127" s="882"/>
      <c r="W127" s="883"/>
      <c r="X127" s="884"/>
      <c r="Y127" s="884"/>
      <c r="Z127" s="884"/>
      <c r="AA127" s="884"/>
      <c r="AB127" s="884"/>
      <c r="AC127" s="884"/>
      <c r="AD127" s="885"/>
      <c r="AE127" s="133"/>
      <c r="AF127" s="133"/>
      <c r="AG127" s="133"/>
      <c r="AH127" s="133"/>
      <c r="AI127" s="908"/>
      <c r="AJ127" s="908"/>
      <c r="AK127" s="908"/>
      <c r="AL127" s="908"/>
      <c r="AM127" s="908"/>
      <c r="AN127" s="908"/>
      <c r="AO127" s="908"/>
      <c r="AP127" s="908"/>
      <c r="AQ127" s="908"/>
      <c r="AR127" s="908"/>
      <c r="AS127" s="908"/>
      <c r="AT127" s="908"/>
      <c r="AU127" s="908"/>
      <c r="AV127" s="908"/>
      <c r="AW127" s="908"/>
      <c r="AX127" s="908"/>
      <c r="AY127" s="908"/>
      <c r="AZ127" s="908"/>
      <c r="BA127" s="723"/>
      <c r="BB127" s="723"/>
      <c r="BC127" s="723"/>
      <c r="BD127" s="723"/>
      <c r="BE127" s="723"/>
      <c r="BF127" s="723"/>
      <c r="BG127" s="723"/>
      <c r="BH127" s="723"/>
      <c r="BI127" s="723"/>
      <c r="BJ127" s="723"/>
      <c r="BK127" s="172"/>
    </row>
    <row r="128" spans="2:63" ht="20.100000000000001" customHeight="1" x14ac:dyDescent="0.3">
      <c r="B128" s="199"/>
      <c r="C128" s="873" t="s">
        <v>91</v>
      </c>
      <c r="D128" s="874"/>
      <c r="E128" s="874"/>
      <c r="F128" s="874"/>
      <c r="G128" s="874"/>
      <c r="H128" s="875"/>
      <c r="I128" s="876"/>
      <c r="J128" s="876"/>
      <c r="K128" s="876"/>
      <c r="L128" s="877"/>
      <c r="M128" s="878"/>
      <c r="N128" s="879"/>
      <c r="O128" s="879"/>
      <c r="P128" s="879"/>
      <c r="Q128" s="879"/>
      <c r="R128" s="880"/>
      <c r="S128" s="881"/>
      <c r="T128" s="881"/>
      <c r="U128" s="881"/>
      <c r="V128" s="882"/>
      <c r="W128" s="883"/>
      <c r="X128" s="884"/>
      <c r="Y128" s="884"/>
      <c r="Z128" s="884"/>
      <c r="AA128" s="884"/>
      <c r="AB128" s="884"/>
      <c r="AC128" s="884"/>
      <c r="AD128" s="885"/>
      <c r="AE128" s="133"/>
      <c r="AF128" s="133"/>
      <c r="AG128" s="133"/>
      <c r="AH128" s="133"/>
      <c r="AI128" s="908" t="s">
        <v>92</v>
      </c>
      <c r="AJ128" s="908"/>
      <c r="AK128" s="908"/>
      <c r="AL128" s="908"/>
      <c r="AM128" s="908"/>
      <c r="AN128" s="908"/>
      <c r="AO128" s="908"/>
      <c r="AP128" s="908"/>
      <c r="AQ128" s="908"/>
      <c r="AR128" s="908"/>
      <c r="AS128" s="908"/>
      <c r="AT128" s="908"/>
      <c r="AU128" s="908"/>
      <c r="AV128" s="908"/>
      <c r="AW128" s="908"/>
      <c r="AX128" s="908"/>
      <c r="AY128" s="908"/>
      <c r="AZ128" s="908"/>
      <c r="BA128" s="396"/>
      <c r="BB128" s="396"/>
      <c r="BC128" s="396"/>
      <c r="BD128" s="396"/>
      <c r="BE128" s="396"/>
      <c r="BF128" s="396"/>
      <c r="BG128" s="396"/>
      <c r="BH128" s="396"/>
      <c r="BI128" s="396"/>
      <c r="BJ128" s="396"/>
      <c r="BK128" s="172"/>
    </row>
    <row r="129" spans="2:63" ht="20.100000000000001" customHeight="1" x14ac:dyDescent="0.3">
      <c r="B129" s="199"/>
      <c r="C129" s="873" t="s">
        <v>93</v>
      </c>
      <c r="D129" s="874"/>
      <c r="E129" s="874"/>
      <c r="F129" s="874"/>
      <c r="G129" s="874"/>
      <c r="H129" s="875"/>
      <c r="I129" s="876"/>
      <c r="J129" s="876"/>
      <c r="K129" s="876"/>
      <c r="L129" s="877"/>
      <c r="M129" s="878"/>
      <c r="N129" s="879"/>
      <c r="O129" s="879"/>
      <c r="P129" s="879"/>
      <c r="Q129" s="879"/>
      <c r="R129" s="880"/>
      <c r="S129" s="881"/>
      <c r="T129" s="881"/>
      <c r="U129" s="881"/>
      <c r="V129" s="882"/>
      <c r="W129" s="883"/>
      <c r="X129" s="884"/>
      <c r="Y129" s="884"/>
      <c r="Z129" s="884"/>
      <c r="AA129" s="884"/>
      <c r="AB129" s="884"/>
      <c r="AC129" s="884"/>
      <c r="AD129" s="885"/>
      <c r="AE129" s="133"/>
      <c r="AF129" s="133"/>
      <c r="AG129" s="133"/>
      <c r="AH129" s="133"/>
      <c r="AI129" s="908"/>
      <c r="AJ129" s="908"/>
      <c r="AK129" s="908"/>
      <c r="AL129" s="908"/>
      <c r="AM129" s="908"/>
      <c r="AN129" s="908"/>
      <c r="AO129" s="908"/>
      <c r="AP129" s="908"/>
      <c r="AQ129" s="908"/>
      <c r="AR129" s="908"/>
      <c r="AS129" s="908"/>
      <c r="AT129" s="908"/>
      <c r="AU129" s="908"/>
      <c r="AV129" s="908"/>
      <c r="AW129" s="908"/>
      <c r="AX129" s="908"/>
      <c r="AY129" s="908"/>
      <c r="AZ129" s="908"/>
      <c r="BA129" s="396"/>
      <c r="BB129" s="396"/>
      <c r="BC129" s="396"/>
      <c r="BD129" s="396"/>
      <c r="BE129" s="396"/>
      <c r="BF129" s="396"/>
      <c r="BG129" s="396"/>
      <c r="BH129" s="396"/>
      <c r="BI129" s="396"/>
      <c r="BJ129" s="396"/>
      <c r="BK129" s="172"/>
    </row>
    <row r="130" spans="2:63" ht="20.100000000000001" customHeight="1" x14ac:dyDescent="0.3">
      <c r="B130" s="199"/>
      <c r="C130" s="873" t="s">
        <v>94</v>
      </c>
      <c r="D130" s="874"/>
      <c r="E130" s="874"/>
      <c r="F130" s="874"/>
      <c r="G130" s="874"/>
      <c r="H130" s="875"/>
      <c r="I130" s="876"/>
      <c r="J130" s="876"/>
      <c r="K130" s="876"/>
      <c r="L130" s="877"/>
      <c r="M130" s="916"/>
      <c r="N130" s="916"/>
      <c r="O130" s="916"/>
      <c r="P130" s="916"/>
      <c r="Q130" s="878"/>
      <c r="R130" s="880"/>
      <c r="S130" s="881"/>
      <c r="T130" s="881"/>
      <c r="U130" s="881"/>
      <c r="V130" s="882"/>
      <c r="W130" s="883"/>
      <c r="X130" s="884"/>
      <c r="Y130" s="884"/>
      <c r="Z130" s="884"/>
      <c r="AA130" s="884"/>
      <c r="AB130" s="884"/>
      <c r="AC130" s="884"/>
      <c r="AD130" s="885"/>
      <c r="AE130" s="133"/>
      <c r="AF130" s="133"/>
      <c r="AG130" s="133"/>
      <c r="AH130" s="133"/>
      <c r="AI130" s="908" t="s">
        <v>95</v>
      </c>
      <c r="AJ130" s="908"/>
      <c r="AK130" s="908"/>
      <c r="AL130" s="908"/>
      <c r="AM130" s="908"/>
      <c r="AN130" s="908"/>
      <c r="AO130" s="908"/>
      <c r="AP130" s="908"/>
      <c r="AQ130" s="908"/>
      <c r="AR130" s="908"/>
      <c r="AS130" s="908"/>
      <c r="AT130" s="908"/>
      <c r="AU130" s="908"/>
      <c r="AV130" s="908"/>
      <c r="AW130" s="908"/>
      <c r="AX130" s="908"/>
      <c r="AY130" s="908"/>
      <c r="AZ130" s="908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172"/>
    </row>
    <row r="131" spans="2:63" ht="20.100000000000001" customHeight="1" x14ac:dyDescent="0.3">
      <c r="B131" s="199"/>
      <c r="C131" s="909" t="s">
        <v>96</v>
      </c>
      <c r="D131" s="910"/>
      <c r="E131" s="910"/>
      <c r="F131" s="910"/>
      <c r="G131" s="911"/>
      <c r="H131" s="912">
        <f>(H124*M124)+(H125*M125)+(H126*M126)+(H127*M127)+(H128*M128)+(H129*M129)+(H130*M130)</f>
        <v>0</v>
      </c>
      <c r="I131" s="912"/>
      <c r="J131" s="912"/>
      <c r="K131" s="912"/>
      <c r="L131" s="912"/>
      <c r="M131" s="913">
        <f>SUMIF(H124:L130,"&lt;&gt;"&amp;"",M124:Q130)</f>
        <v>0</v>
      </c>
      <c r="N131" s="914"/>
      <c r="O131" s="914"/>
      <c r="P131" s="914"/>
      <c r="Q131" s="915"/>
      <c r="R131" s="974"/>
      <c r="S131" s="975"/>
      <c r="T131" s="975"/>
      <c r="U131" s="975"/>
      <c r="V131" s="975"/>
      <c r="W131" s="976"/>
      <c r="X131" s="976"/>
      <c r="Y131" s="976"/>
      <c r="Z131" s="976"/>
      <c r="AA131" s="976"/>
      <c r="AB131" s="976"/>
      <c r="AC131" s="976"/>
      <c r="AD131" s="977"/>
      <c r="AE131" s="132"/>
      <c r="AF131" s="132"/>
      <c r="AG131" s="132"/>
      <c r="AH131" s="132"/>
      <c r="AI131" s="908"/>
      <c r="AJ131" s="908"/>
      <c r="AK131" s="908"/>
      <c r="AL131" s="908"/>
      <c r="AM131" s="908"/>
      <c r="AN131" s="908"/>
      <c r="AO131" s="908"/>
      <c r="AP131" s="908"/>
      <c r="AQ131" s="908"/>
      <c r="AR131" s="908"/>
      <c r="AS131" s="908"/>
      <c r="AT131" s="908"/>
      <c r="AU131" s="908"/>
      <c r="AV131" s="908"/>
      <c r="AW131" s="908"/>
      <c r="AX131" s="908"/>
      <c r="AY131" s="908"/>
      <c r="AZ131" s="908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172"/>
    </row>
    <row r="132" spans="2:63" ht="4.5" customHeight="1" x14ac:dyDescent="0.3">
      <c r="B132" s="199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172"/>
    </row>
    <row r="133" spans="2:63" s="136" customFormat="1" ht="30.9" customHeight="1" x14ac:dyDescent="0.3">
      <c r="B133" s="268"/>
      <c r="C133" s="1029" t="s">
        <v>117</v>
      </c>
      <c r="D133" s="1030"/>
      <c r="E133" s="1030"/>
      <c r="F133" s="1030"/>
      <c r="G133" s="1030"/>
      <c r="H133" s="1030"/>
      <c r="I133" s="1030"/>
      <c r="J133" s="1030"/>
      <c r="K133" s="1030"/>
      <c r="L133" s="1030"/>
      <c r="M133" s="1030"/>
      <c r="N133" s="1030"/>
      <c r="O133" s="1030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30"/>
      <c r="AB133" s="1030"/>
      <c r="AC133" s="1030"/>
      <c r="AD133" s="1030"/>
      <c r="AE133" s="1030"/>
      <c r="AF133" s="1030"/>
      <c r="AG133" s="1030"/>
      <c r="AH133" s="1030"/>
      <c r="AI133" s="1030"/>
      <c r="AJ133" s="1030"/>
      <c r="AK133" s="1030"/>
      <c r="AL133" s="1030"/>
      <c r="AM133" s="1030"/>
      <c r="AN133" s="1030"/>
      <c r="AO133" s="1030"/>
      <c r="AP133" s="1030"/>
      <c r="AQ133" s="1030"/>
      <c r="AR133" s="1030"/>
      <c r="AS133" s="1030"/>
      <c r="AT133" s="1030"/>
      <c r="AU133" s="1030"/>
      <c r="AV133" s="1030"/>
      <c r="AW133" s="1030"/>
      <c r="AX133" s="1030"/>
      <c r="AY133" s="1030"/>
      <c r="AZ133" s="1030"/>
      <c r="BA133" s="1030"/>
      <c r="BB133" s="1030"/>
      <c r="BC133" s="1030"/>
      <c r="BD133" s="1030"/>
      <c r="BE133" s="1030"/>
      <c r="BF133" s="1030"/>
      <c r="BG133" s="1030"/>
      <c r="BH133" s="1030"/>
      <c r="BI133" s="1030"/>
      <c r="BJ133" s="1030"/>
      <c r="BK133" s="269"/>
    </row>
    <row r="134" spans="2:63" s="136" customFormat="1" ht="39.75" customHeight="1" x14ac:dyDescent="0.3">
      <c r="B134" s="268"/>
      <c r="C134" s="1031" t="s">
        <v>99</v>
      </c>
      <c r="D134" s="1031"/>
      <c r="E134" s="1031"/>
      <c r="F134" s="1031"/>
      <c r="G134" s="1031"/>
      <c r="H134" s="1031"/>
      <c r="I134" s="1031"/>
      <c r="J134" s="1031"/>
      <c r="K134" s="1031"/>
      <c r="L134" s="1032" t="s">
        <v>118</v>
      </c>
      <c r="M134" s="1033"/>
      <c r="N134" s="1033"/>
      <c r="O134" s="1033"/>
      <c r="P134" s="1033"/>
      <c r="Q134" s="1034"/>
      <c r="R134" s="1032" t="s">
        <v>119</v>
      </c>
      <c r="S134" s="1033"/>
      <c r="T134" s="1033"/>
      <c r="U134" s="1033"/>
      <c r="V134" s="1034"/>
      <c r="W134" s="1031" t="s">
        <v>120</v>
      </c>
      <c r="X134" s="1031"/>
      <c r="Y134" s="1031"/>
      <c r="Z134" s="1031"/>
      <c r="AA134" s="1031"/>
      <c r="AB134" s="1031"/>
      <c r="AC134" s="1031" t="s">
        <v>121</v>
      </c>
      <c r="AD134" s="1031"/>
      <c r="AE134" s="1031"/>
      <c r="AF134" s="1031"/>
      <c r="AG134" s="1031"/>
      <c r="AH134" s="1031"/>
      <c r="AI134" s="1035" t="s">
        <v>122</v>
      </c>
      <c r="AJ134" s="1036"/>
      <c r="AK134" s="1036"/>
      <c r="AL134" s="1036"/>
      <c r="AM134" s="1037"/>
      <c r="AN134" s="1035" t="s">
        <v>123</v>
      </c>
      <c r="AO134" s="1036"/>
      <c r="AP134" s="1036"/>
      <c r="AQ134" s="1037"/>
      <c r="AR134" s="1035" t="s">
        <v>106</v>
      </c>
      <c r="AS134" s="1036"/>
      <c r="AT134" s="1036"/>
      <c r="AU134" s="1037"/>
      <c r="AV134" s="1032" t="s">
        <v>124</v>
      </c>
      <c r="AW134" s="1033"/>
      <c r="AX134" s="1033"/>
      <c r="AY134" s="1034"/>
      <c r="AZ134" s="1035" t="s">
        <v>125</v>
      </c>
      <c r="BA134" s="1036"/>
      <c r="BB134" s="1036"/>
      <c r="BC134" s="1037"/>
      <c r="BD134" s="1035" t="s">
        <v>111</v>
      </c>
      <c r="BE134" s="1036"/>
      <c r="BF134" s="1036"/>
      <c r="BG134" s="1036"/>
      <c r="BH134" s="1036"/>
      <c r="BI134" s="1036"/>
      <c r="BJ134" s="1036"/>
      <c r="BK134" s="269"/>
    </row>
    <row r="135" spans="2:63" ht="30" customHeight="1" x14ac:dyDescent="0.3">
      <c r="B135" s="199"/>
      <c r="C135" s="1048" t="s">
        <v>126</v>
      </c>
      <c r="D135" s="1048"/>
      <c r="E135" s="1048"/>
      <c r="F135" s="1048"/>
      <c r="G135" s="1048"/>
      <c r="H135" s="1048"/>
      <c r="I135" s="1048"/>
      <c r="J135" s="1048"/>
      <c r="K135" s="1048"/>
      <c r="L135" s="1049" t="s">
        <v>127</v>
      </c>
      <c r="M135" s="1050"/>
      <c r="N135" s="1050"/>
      <c r="O135" s="1050"/>
      <c r="P135" s="1050"/>
      <c r="Q135" s="1051"/>
      <c r="R135" s="1049" t="s">
        <v>128</v>
      </c>
      <c r="S135" s="1050"/>
      <c r="T135" s="1050"/>
      <c r="U135" s="1050"/>
      <c r="V135" s="1051"/>
      <c r="W135" s="1048" t="s">
        <v>129</v>
      </c>
      <c r="X135" s="1048"/>
      <c r="Y135" s="1048"/>
      <c r="Z135" s="1048"/>
      <c r="AA135" s="1048"/>
      <c r="AB135" s="1048"/>
      <c r="AC135" s="1048" t="s">
        <v>130</v>
      </c>
      <c r="AD135" s="1048"/>
      <c r="AE135" s="1048"/>
      <c r="AF135" s="1048"/>
      <c r="AG135" s="1048"/>
      <c r="AH135" s="1048"/>
      <c r="AI135" s="1052">
        <v>0.8</v>
      </c>
      <c r="AJ135" s="1053"/>
      <c r="AK135" s="1053"/>
      <c r="AL135" s="1053"/>
      <c r="AM135" s="1054"/>
      <c r="AN135" s="1052">
        <v>0.95</v>
      </c>
      <c r="AO135" s="1053"/>
      <c r="AP135" s="1053"/>
      <c r="AQ135" s="1054"/>
      <c r="AR135" s="1049" t="s">
        <v>131</v>
      </c>
      <c r="AS135" s="1050"/>
      <c r="AT135" s="1050"/>
      <c r="AU135" s="1051"/>
      <c r="AV135" s="1049" t="s">
        <v>132</v>
      </c>
      <c r="AW135" s="1050"/>
      <c r="AX135" s="1050"/>
      <c r="AY135" s="1051"/>
      <c r="AZ135" s="1049">
        <v>8</v>
      </c>
      <c r="BA135" s="1050"/>
      <c r="BB135" s="1050"/>
      <c r="BC135" s="1051"/>
      <c r="BD135" s="1055" t="s">
        <v>133</v>
      </c>
      <c r="BE135" s="1056"/>
      <c r="BF135" s="1056"/>
      <c r="BG135" s="1056"/>
      <c r="BH135" s="1056"/>
      <c r="BI135" s="1056"/>
      <c r="BJ135" s="1057"/>
      <c r="BK135" s="172"/>
    </row>
    <row r="136" spans="2:63" ht="30" customHeight="1" x14ac:dyDescent="0.3">
      <c r="B136" s="199"/>
      <c r="C136" s="1061"/>
      <c r="D136" s="1061"/>
      <c r="E136" s="1061"/>
      <c r="F136" s="1061"/>
      <c r="G136" s="1061"/>
      <c r="H136" s="1061"/>
      <c r="I136" s="1061"/>
      <c r="J136" s="1061"/>
      <c r="K136" s="1061"/>
      <c r="L136" s="1062"/>
      <c r="M136" s="1063"/>
      <c r="N136" s="1063"/>
      <c r="O136" s="1063"/>
      <c r="P136" s="1063"/>
      <c r="Q136" s="1064"/>
      <c r="R136" s="1065"/>
      <c r="S136" s="1066"/>
      <c r="T136" s="1066"/>
      <c r="U136" s="1066"/>
      <c r="V136" s="1067"/>
      <c r="W136" s="1061"/>
      <c r="X136" s="1061"/>
      <c r="Y136" s="1061"/>
      <c r="Z136" s="1061"/>
      <c r="AA136" s="1061"/>
      <c r="AB136" s="1061"/>
      <c r="AC136" s="1061"/>
      <c r="AD136" s="1061"/>
      <c r="AE136" s="1061"/>
      <c r="AF136" s="1061"/>
      <c r="AG136" s="1061"/>
      <c r="AH136" s="1061"/>
      <c r="AI136" s="1068"/>
      <c r="AJ136" s="1069"/>
      <c r="AK136" s="1069"/>
      <c r="AL136" s="1069"/>
      <c r="AM136" s="1070"/>
      <c r="AN136" s="1068"/>
      <c r="AO136" s="1069"/>
      <c r="AP136" s="1069"/>
      <c r="AQ136" s="1070"/>
      <c r="AR136" s="1065"/>
      <c r="AS136" s="1066"/>
      <c r="AT136" s="1066"/>
      <c r="AU136" s="1067"/>
      <c r="AV136" s="1065"/>
      <c r="AW136" s="1066"/>
      <c r="AX136" s="1066"/>
      <c r="AY136" s="1067"/>
      <c r="AZ136" s="1065"/>
      <c r="BA136" s="1066"/>
      <c r="BB136" s="1066"/>
      <c r="BC136" s="1067"/>
      <c r="BD136" s="1071"/>
      <c r="BE136" s="1072"/>
      <c r="BF136" s="1072"/>
      <c r="BG136" s="1072"/>
      <c r="BH136" s="1072"/>
      <c r="BI136" s="1072"/>
      <c r="BJ136" s="1073"/>
      <c r="BK136" s="172"/>
    </row>
    <row r="137" spans="2:63" ht="30" customHeight="1" x14ac:dyDescent="0.3">
      <c r="B137" s="199"/>
      <c r="C137" s="1061"/>
      <c r="D137" s="1061"/>
      <c r="E137" s="1061"/>
      <c r="F137" s="1061"/>
      <c r="G137" s="1061"/>
      <c r="H137" s="1061"/>
      <c r="I137" s="1061"/>
      <c r="J137" s="1061"/>
      <c r="K137" s="1061"/>
      <c r="L137" s="1062"/>
      <c r="M137" s="1063"/>
      <c r="N137" s="1063"/>
      <c r="O137" s="1063"/>
      <c r="P137" s="1063"/>
      <c r="Q137" s="1064"/>
      <c r="R137" s="1065"/>
      <c r="S137" s="1066"/>
      <c r="T137" s="1066"/>
      <c r="U137" s="1066"/>
      <c r="V137" s="1067"/>
      <c r="W137" s="1061"/>
      <c r="X137" s="1061"/>
      <c r="Y137" s="1061"/>
      <c r="Z137" s="1061"/>
      <c r="AA137" s="1061"/>
      <c r="AB137" s="1061"/>
      <c r="AC137" s="1061"/>
      <c r="AD137" s="1061"/>
      <c r="AE137" s="1061"/>
      <c r="AF137" s="1061"/>
      <c r="AG137" s="1061"/>
      <c r="AH137" s="1061"/>
      <c r="AI137" s="1068"/>
      <c r="AJ137" s="1069"/>
      <c r="AK137" s="1069"/>
      <c r="AL137" s="1069"/>
      <c r="AM137" s="1070"/>
      <c r="AN137" s="1068"/>
      <c r="AO137" s="1069"/>
      <c r="AP137" s="1069"/>
      <c r="AQ137" s="1070"/>
      <c r="AR137" s="1065"/>
      <c r="AS137" s="1066"/>
      <c r="AT137" s="1066"/>
      <c r="AU137" s="1067"/>
      <c r="AV137" s="1065"/>
      <c r="AW137" s="1066"/>
      <c r="AX137" s="1066"/>
      <c r="AY137" s="1067"/>
      <c r="AZ137" s="1065"/>
      <c r="BA137" s="1066"/>
      <c r="BB137" s="1066"/>
      <c r="BC137" s="1067"/>
      <c r="BD137" s="1071"/>
      <c r="BE137" s="1072"/>
      <c r="BF137" s="1072"/>
      <c r="BG137" s="1072"/>
      <c r="BH137" s="1072"/>
      <c r="BI137" s="1072"/>
      <c r="BJ137" s="1073"/>
      <c r="BK137" s="172"/>
    </row>
    <row r="138" spans="2:63" ht="30" customHeight="1" x14ac:dyDescent="0.3">
      <c r="B138" s="199"/>
      <c r="C138" s="1061"/>
      <c r="D138" s="1061"/>
      <c r="E138" s="1061"/>
      <c r="F138" s="1061"/>
      <c r="G138" s="1061"/>
      <c r="H138" s="1061"/>
      <c r="I138" s="1061"/>
      <c r="J138" s="1061"/>
      <c r="K138" s="1061"/>
      <c r="L138" s="1062"/>
      <c r="M138" s="1063"/>
      <c r="N138" s="1063"/>
      <c r="O138" s="1063"/>
      <c r="P138" s="1063"/>
      <c r="Q138" s="1064"/>
      <c r="R138" s="1065"/>
      <c r="S138" s="1066"/>
      <c r="T138" s="1066"/>
      <c r="U138" s="1066"/>
      <c r="V138" s="1067"/>
      <c r="W138" s="1061"/>
      <c r="X138" s="1061"/>
      <c r="Y138" s="1061"/>
      <c r="Z138" s="1061"/>
      <c r="AA138" s="1061"/>
      <c r="AB138" s="1061"/>
      <c r="AC138" s="1061"/>
      <c r="AD138" s="1061"/>
      <c r="AE138" s="1061"/>
      <c r="AF138" s="1061"/>
      <c r="AG138" s="1061"/>
      <c r="AH138" s="1061"/>
      <c r="AI138" s="1068"/>
      <c r="AJ138" s="1069"/>
      <c r="AK138" s="1069"/>
      <c r="AL138" s="1069"/>
      <c r="AM138" s="1070"/>
      <c r="AN138" s="1068"/>
      <c r="AO138" s="1069"/>
      <c r="AP138" s="1069"/>
      <c r="AQ138" s="1070"/>
      <c r="AR138" s="1065"/>
      <c r="AS138" s="1066"/>
      <c r="AT138" s="1066"/>
      <c r="AU138" s="1067"/>
      <c r="AV138" s="1065"/>
      <c r="AW138" s="1066"/>
      <c r="AX138" s="1066"/>
      <c r="AY138" s="1067"/>
      <c r="AZ138" s="1065"/>
      <c r="BA138" s="1066"/>
      <c r="BB138" s="1066"/>
      <c r="BC138" s="1067"/>
      <c r="BD138" s="1071"/>
      <c r="BE138" s="1072"/>
      <c r="BF138" s="1072"/>
      <c r="BG138" s="1072"/>
      <c r="BH138" s="1072"/>
      <c r="BI138" s="1072"/>
      <c r="BJ138" s="1073"/>
      <c r="BK138" s="172"/>
    </row>
    <row r="139" spans="2:63" ht="30" customHeight="1" x14ac:dyDescent="0.3">
      <c r="B139" s="199"/>
      <c r="C139" s="1061"/>
      <c r="D139" s="1061"/>
      <c r="E139" s="1061"/>
      <c r="F139" s="1061"/>
      <c r="G139" s="1061"/>
      <c r="H139" s="1061"/>
      <c r="I139" s="1061"/>
      <c r="J139" s="1061"/>
      <c r="K139" s="1061"/>
      <c r="L139" s="1062"/>
      <c r="M139" s="1063"/>
      <c r="N139" s="1063"/>
      <c r="O139" s="1063"/>
      <c r="P139" s="1063"/>
      <c r="Q139" s="1064"/>
      <c r="R139" s="1065"/>
      <c r="S139" s="1066"/>
      <c r="T139" s="1066"/>
      <c r="U139" s="1066"/>
      <c r="V139" s="1067"/>
      <c r="W139" s="1061"/>
      <c r="X139" s="1061"/>
      <c r="Y139" s="1061"/>
      <c r="Z139" s="1061"/>
      <c r="AA139" s="1061"/>
      <c r="AB139" s="1061"/>
      <c r="AC139" s="1061"/>
      <c r="AD139" s="1061"/>
      <c r="AE139" s="1061"/>
      <c r="AF139" s="1061"/>
      <c r="AG139" s="1061"/>
      <c r="AH139" s="1061"/>
      <c r="AI139" s="1068"/>
      <c r="AJ139" s="1069"/>
      <c r="AK139" s="1069"/>
      <c r="AL139" s="1069"/>
      <c r="AM139" s="1070"/>
      <c r="AN139" s="1068"/>
      <c r="AO139" s="1069"/>
      <c r="AP139" s="1069"/>
      <c r="AQ139" s="1070"/>
      <c r="AR139" s="1065"/>
      <c r="AS139" s="1066"/>
      <c r="AT139" s="1066"/>
      <c r="AU139" s="1067"/>
      <c r="AV139" s="1065"/>
      <c r="AW139" s="1066"/>
      <c r="AX139" s="1066"/>
      <c r="AY139" s="1067"/>
      <c r="AZ139" s="1065"/>
      <c r="BA139" s="1066"/>
      <c r="BB139" s="1066"/>
      <c r="BC139" s="1067"/>
      <c r="BD139" s="1071"/>
      <c r="BE139" s="1072"/>
      <c r="BF139" s="1072"/>
      <c r="BG139" s="1072"/>
      <c r="BH139" s="1072"/>
      <c r="BI139" s="1072"/>
      <c r="BJ139" s="1073"/>
      <c r="BK139" s="172"/>
    </row>
    <row r="140" spans="2:63" ht="30" customHeight="1" x14ac:dyDescent="0.3">
      <c r="B140" s="199"/>
      <c r="C140" s="1061"/>
      <c r="D140" s="1061"/>
      <c r="E140" s="1061"/>
      <c r="F140" s="1061"/>
      <c r="G140" s="1061"/>
      <c r="H140" s="1061"/>
      <c r="I140" s="1061"/>
      <c r="J140" s="1061"/>
      <c r="K140" s="1061"/>
      <c r="L140" s="1062"/>
      <c r="M140" s="1063"/>
      <c r="N140" s="1063"/>
      <c r="O140" s="1063"/>
      <c r="P140" s="1063"/>
      <c r="Q140" s="1064"/>
      <c r="R140" s="1065"/>
      <c r="S140" s="1066"/>
      <c r="T140" s="1066"/>
      <c r="U140" s="1066"/>
      <c r="V140" s="1067"/>
      <c r="W140" s="1061"/>
      <c r="X140" s="1061"/>
      <c r="Y140" s="1061"/>
      <c r="Z140" s="1061"/>
      <c r="AA140" s="1061"/>
      <c r="AB140" s="1061"/>
      <c r="AC140" s="1061"/>
      <c r="AD140" s="1061"/>
      <c r="AE140" s="1061"/>
      <c r="AF140" s="1061"/>
      <c r="AG140" s="1061"/>
      <c r="AH140" s="1061"/>
      <c r="AI140" s="1068"/>
      <c r="AJ140" s="1069"/>
      <c r="AK140" s="1069"/>
      <c r="AL140" s="1069"/>
      <c r="AM140" s="1070"/>
      <c r="AN140" s="1068"/>
      <c r="AO140" s="1069"/>
      <c r="AP140" s="1069"/>
      <c r="AQ140" s="1070"/>
      <c r="AR140" s="1065"/>
      <c r="AS140" s="1066"/>
      <c r="AT140" s="1066"/>
      <c r="AU140" s="1067"/>
      <c r="AV140" s="1065"/>
      <c r="AW140" s="1066"/>
      <c r="AX140" s="1066"/>
      <c r="AY140" s="1067"/>
      <c r="AZ140" s="1065"/>
      <c r="BA140" s="1066"/>
      <c r="BB140" s="1066"/>
      <c r="BC140" s="1067"/>
      <c r="BD140" s="1071"/>
      <c r="BE140" s="1072"/>
      <c r="BF140" s="1072"/>
      <c r="BG140" s="1072"/>
      <c r="BH140" s="1072"/>
      <c r="BI140" s="1072"/>
      <c r="BJ140" s="1073"/>
      <c r="BK140" s="172"/>
    </row>
    <row r="141" spans="2:63" ht="30" customHeight="1" x14ac:dyDescent="0.3">
      <c r="B141" s="199"/>
      <c r="C141" s="1061"/>
      <c r="D141" s="1061"/>
      <c r="E141" s="1061"/>
      <c r="F141" s="1061"/>
      <c r="G141" s="1061"/>
      <c r="H141" s="1061"/>
      <c r="I141" s="1061"/>
      <c r="J141" s="1061"/>
      <c r="K141" s="1061"/>
      <c r="L141" s="1062"/>
      <c r="M141" s="1063"/>
      <c r="N141" s="1063"/>
      <c r="O141" s="1063"/>
      <c r="P141" s="1063"/>
      <c r="Q141" s="1064"/>
      <c r="R141" s="1065"/>
      <c r="S141" s="1066"/>
      <c r="T141" s="1066"/>
      <c r="U141" s="1066"/>
      <c r="V141" s="1067"/>
      <c r="W141" s="1061"/>
      <c r="X141" s="1061"/>
      <c r="Y141" s="1061"/>
      <c r="Z141" s="1061"/>
      <c r="AA141" s="1061"/>
      <c r="AB141" s="1061"/>
      <c r="AC141" s="1061"/>
      <c r="AD141" s="1061"/>
      <c r="AE141" s="1061"/>
      <c r="AF141" s="1061"/>
      <c r="AG141" s="1061"/>
      <c r="AH141" s="1061"/>
      <c r="AI141" s="1068"/>
      <c r="AJ141" s="1069"/>
      <c r="AK141" s="1069"/>
      <c r="AL141" s="1069"/>
      <c r="AM141" s="1070"/>
      <c r="AN141" s="1068"/>
      <c r="AO141" s="1069"/>
      <c r="AP141" s="1069"/>
      <c r="AQ141" s="1070"/>
      <c r="AR141" s="1065"/>
      <c r="AS141" s="1066"/>
      <c r="AT141" s="1066"/>
      <c r="AU141" s="1067"/>
      <c r="AV141" s="1065"/>
      <c r="AW141" s="1066"/>
      <c r="AX141" s="1066"/>
      <c r="AY141" s="1067"/>
      <c r="AZ141" s="1065"/>
      <c r="BA141" s="1066"/>
      <c r="BB141" s="1066"/>
      <c r="BC141" s="1067"/>
      <c r="BD141" s="1071"/>
      <c r="BE141" s="1072"/>
      <c r="BF141" s="1072"/>
      <c r="BG141" s="1072"/>
      <c r="BH141" s="1072"/>
      <c r="BI141" s="1072"/>
      <c r="BJ141" s="1073"/>
      <c r="BK141" s="172"/>
    </row>
    <row r="142" spans="2:63" ht="30" customHeight="1" x14ac:dyDescent="0.3">
      <c r="B142" s="199"/>
      <c r="C142" s="1061"/>
      <c r="D142" s="1061"/>
      <c r="E142" s="1061"/>
      <c r="F142" s="1061"/>
      <c r="G142" s="1061"/>
      <c r="H142" s="1061"/>
      <c r="I142" s="1061"/>
      <c r="J142" s="1061"/>
      <c r="K142" s="1061"/>
      <c r="L142" s="1062"/>
      <c r="M142" s="1063"/>
      <c r="N142" s="1063"/>
      <c r="O142" s="1063"/>
      <c r="P142" s="1063"/>
      <c r="Q142" s="1064"/>
      <c r="R142" s="1065"/>
      <c r="S142" s="1066"/>
      <c r="T142" s="1066"/>
      <c r="U142" s="1066"/>
      <c r="V142" s="1067"/>
      <c r="W142" s="1061"/>
      <c r="X142" s="1061"/>
      <c r="Y142" s="1061"/>
      <c r="Z142" s="1061"/>
      <c r="AA142" s="1061"/>
      <c r="AB142" s="1061"/>
      <c r="AC142" s="1061"/>
      <c r="AD142" s="1061"/>
      <c r="AE142" s="1061"/>
      <c r="AF142" s="1061"/>
      <c r="AG142" s="1061"/>
      <c r="AH142" s="1061"/>
      <c r="AI142" s="1068"/>
      <c r="AJ142" s="1069"/>
      <c r="AK142" s="1069"/>
      <c r="AL142" s="1069"/>
      <c r="AM142" s="1070"/>
      <c r="AN142" s="1068"/>
      <c r="AO142" s="1069"/>
      <c r="AP142" s="1069"/>
      <c r="AQ142" s="1070"/>
      <c r="AR142" s="1065"/>
      <c r="AS142" s="1066"/>
      <c r="AT142" s="1066"/>
      <c r="AU142" s="1067"/>
      <c r="AV142" s="1065"/>
      <c r="AW142" s="1066"/>
      <c r="AX142" s="1066"/>
      <c r="AY142" s="1067"/>
      <c r="AZ142" s="1065"/>
      <c r="BA142" s="1066"/>
      <c r="BB142" s="1066"/>
      <c r="BC142" s="1067"/>
      <c r="BD142" s="1071"/>
      <c r="BE142" s="1072"/>
      <c r="BF142" s="1072"/>
      <c r="BG142" s="1072"/>
      <c r="BH142" s="1072"/>
      <c r="BI142" s="1072"/>
      <c r="BJ142" s="1073"/>
      <c r="BK142" s="172"/>
    </row>
    <row r="143" spans="2:63" ht="30" customHeight="1" x14ac:dyDescent="0.3">
      <c r="B143" s="199"/>
      <c r="C143" s="1061"/>
      <c r="D143" s="1061"/>
      <c r="E143" s="1061"/>
      <c r="F143" s="1061"/>
      <c r="G143" s="1061"/>
      <c r="H143" s="1061"/>
      <c r="I143" s="1061"/>
      <c r="J143" s="1061"/>
      <c r="K143" s="1061"/>
      <c r="L143" s="1062"/>
      <c r="M143" s="1063"/>
      <c r="N143" s="1063"/>
      <c r="O143" s="1063"/>
      <c r="P143" s="1063"/>
      <c r="Q143" s="1064"/>
      <c r="R143" s="1065"/>
      <c r="S143" s="1066"/>
      <c r="T143" s="1066"/>
      <c r="U143" s="1066"/>
      <c r="V143" s="1067"/>
      <c r="W143" s="1061"/>
      <c r="X143" s="1061"/>
      <c r="Y143" s="1061"/>
      <c r="Z143" s="1061"/>
      <c r="AA143" s="1061"/>
      <c r="AB143" s="1061"/>
      <c r="AC143" s="1061"/>
      <c r="AD143" s="1061"/>
      <c r="AE143" s="1061"/>
      <c r="AF143" s="1061"/>
      <c r="AG143" s="1061"/>
      <c r="AH143" s="1061"/>
      <c r="AI143" s="1068"/>
      <c r="AJ143" s="1069"/>
      <c r="AK143" s="1069"/>
      <c r="AL143" s="1069"/>
      <c r="AM143" s="1070"/>
      <c r="AN143" s="1068"/>
      <c r="AO143" s="1069"/>
      <c r="AP143" s="1069"/>
      <c r="AQ143" s="1070"/>
      <c r="AR143" s="1065"/>
      <c r="AS143" s="1066"/>
      <c r="AT143" s="1066"/>
      <c r="AU143" s="1067"/>
      <c r="AV143" s="1065"/>
      <c r="AW143" s="1066"/>
      <c r="AX143" s="1066"/>
      <c r="AY143" s="1067"/>
      <c r="AZ143" s="1065"/>
      <c r="BA143" s="1066"/>
      <c r="BB143" s="1066"/>
      <c r="BC143" s="1067"/>
      <c r="BD143" s="1071"/>
      <c r="BE143" s="1072"/>
      <c r="BF143" s="1072"/>
      <c r="BG143" s="1072"/>
      <c r="BH143" s="1072"/>
      <c r="BI143" s="1072"/>
      <c r="BJ143" s="1073"/>
      <c r="BK143" s="172"/>
    </row>
    <row r="144" spans="2:63" ht="30" customHeight="1" x14ac:dyDescent="0.3">
      <c r="B144" s="199"/>
      <c r="C144" s="1061"/>
      <c r="D144" s="1061"/>
      <c r="E144" s="1061"/>
      <c r="F144" s="1061"/>
      <c r="G144" s="1061"/>
      <c r="H144" s="1061"/>
      <c r="I144" s="1061"/>
      <c r="J144" s="1061"/>
      <c r="K144" s="1061"/>
      <c r="L144" s="1062"/>
      <c r="M144" s="1063"/>
      <c r="N144" s="1063"/>
      <c r="O144" s="1063"/>
      <c r="P144" s="1063"/>
      <c r="Q144" s="1064"/>
      <c r="R144" s="1065"/>
      <c r="S144" s="1066"/>
      <c r="T144" s="1066"/>
      <c r="U144" s="1066"/>
      <c r="V144" s="1067"/>
      <c r="W144" s="1061"/>
      <c r="X144" s="1061"/>
      <c r="Y144" s="1061"/>
      <c r="Z144" s="1061"/>
      <c r="AA144" s="1061"/>
      <c r="AB144" s="1061"/>
      <c r="AC144" s="1061"/>
      <c r="AD144" s="1061"/>
      <c r="AE144" s="1061"/>
      <c r="AF144" s="1061"/>
      <c r="AG144" s="1061"/>
      <c r="AH144" s="1061"/>
      <c r="AI144" s="1068"/>
      <c r="AJ144" s="1069"/>
      <c r="AK144" s="1069"/>
      <c r="AL144" s="1069"/>
      <c r="AM144" s="1070"/>
      <c r="AN144" s="1068"/>
      <c r="AO144" s="1069"/>
      <c r="AP144" s="1069"/>
      <c r="AQ144" s="1070"/>
      <c r="AR144" s="1065"/>
      <c r="AS144" s="1066"/>
      <c r="AT144" s="1066"/>
      <c r="AU144" s="1067"/>
      <c r="AV144" s="1065"/>
      <c r="AW144" s="1066"/>
      <c r="AX144" s="1066"/>
      <c r="AY144" s="1067"/>
      <c r="AZ144" s="1065"/>
      <c r="BA144" s="1066"/>
      <c r="BB144" s="1066"/>
      <c r="BC144" s="1067"/>
      <c r="BD144" s="1071"/>
      <c r="BE144" s="1072"/>
      <c r="BF144" s="1072"/>
      <c r="BG144" s="1072"/>
      <c r="BH144" s="1072"/>
      <c r="BI144" s="1072"/>
      <c r="BJ144" s="1073"/>
      <c r="BK144" s="172"/>
    </row>
    <row r="145" spans="2:63" ht="4.5" customHeight="1" x14ac:dyDescent="0.3">
      <c r="B145" s="199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172"/>
    </row>
    <row r="146" spans="2:63" ht="4.5" customHeight="1" x14ac:dyDescent="0.3">
      <c r="B146" s="199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172"/>
    </row>
    <row r="147" spans="2:63" ht="15.6" hidden="1" x14ac:dyDescent="0.3">
      <c r="B147" s="199"/>
      <c r="C147" s="919" t="s">
        <v>134</v>
      </c>
      <c r="D147" s="920"/>
      <c r="E147" s="920"/>
      <c r="F147" s="920"/>
      <c r="G147" s="920"/>
      <c r="H147" s="920"/>
      <c r="I147" s="920"/>
      <c r="J147" s="920"/>
      <c r="K147" s="920"/>
      <c r="L147" s="920"/>
      <c r="M147" s="920"/>
      <c r="N147" s="920"/>
      <c r="O147" s="920"/>
      <c r="P147" s="920"/>
      <c r="Q147" s="921"/>
      <c r="R147" s="925" t="s">
        <v>135</v>
      </c>
      <c r="S147" s="926"/>
      <c r="T147" s="926"/>
      <c r="U147" s="926"/>
      <c r="V147" s="926"/>
      <c r="W147" s="926"/>
      <c r="X147" s="926"/>
      <c r="Y147" s="926"/>
      <c r="Z147" s="926"/>
      <c r="AA147" s="926"/>
      <c r="AB147" s="926"/>
      <c r="AC147" s="926"/>
      <c r="AD147" s="926"/>
      <c r="AE147" s="926"/>
      <c r="AF147" s="927"/>
      <c r="AG147" s="928">
        <f>H131</f>
        <v>0</v>
      </c>
      <c r="AH147" s="928"/>
      <c r="AI147" s="928"/>
      <c r="AJ147" s="928"/>
      <c r="AK147" s="928"/>
      <c r="AL147" s="929"/>
      <c r="AM147" s="930"/>
      <c r="AN147" s="930"/>
      <c r="AO147" s="930"/>
      <c r="AP147" s="930"/>
      <c r="AQ147" s="930"/>
      <c r="AR147" s="930"/>
      <c r="AS147" s="930"/>
      <c r="AT147" s="930"/>
      <c r="AU147" s="930"/>
      <c r="AV147" s="930"/>
      <c r="AW147" s="930"/>
      <c r="AX147" s="930"/>
      <c r="AY147" s="930"/>
      <c r="AZ147" s="930"/>
      <c r="BA147" s="930"/>
      <c r="BB147" s="930"/>
      <c r="BC147" s="930"/>
      <c r="BD147" s="930"/>
      <c r="BE147" s="930"/>
      <c r="BF147" s="930"/>
      <c r="BG147" s="930"/>
      <c r="BH147" s="930"/>
      <c r="BI147" s="930"/>
      <c r="BJ147" s="931"/>
      <c r="BK147" s="172"/>
    </row>
    <row r="148" spans="2:63" ht="15.6" hidden="1" x14ac:dyDescent="0.3">
      <c r="B148" s="199"/>
      <c r="C148" s="922"/>
      <c r="D148" s="923"/>
      <c r="E148" s="923"/>
      <c r="F148" s="923"/>
      <c r="G148" s="923"/>
      <c r="H148" s="923"/>
      <c r="I148" s="923"/>
      <c r="J148" s="923"/>
      <c r="K148" s="923"/>
      <c r="L148" s="923"/>
      <c r="M148" s="923"/>
      <c r="N148" s="923"/>
      <c r="O148" s="923"/>
      <c r="P148" s="923"/>
      <c r="Q148" s="924"/>
      <c r="R148" s="925" t="s">
        <v>137</v>
      </c>
      <c r="S148" s="926"/>
      <c r="T148" s="926"/>
      <c r="U148" s="926"/>
      <c r="V148" s="926"/>
      <c r="W148" s="926"/>
      <c r="X148" s="926"/>
      <c r="Y148" s="926"/>
      <c r="Z148" s="926"/>
      <c r="AA148" s="926"/>
      <c r="AB148" s="926"/>
      <c r="AC148" s="926"/>
      <c r="AD148" s="926"/>
      <c r="AE148" s="926"/>
      <c r="AF148" s="927"/>
      <c r="AG148" s="929">
        <f>M131</f>
        <v>0</v>
      </c>
      <c r="AH148" s="930"/>
      <c r="AI148" s="930"/>
      <c r="AJ148" s="930"/>
      <c r="AK148" s="931"/>
      <c r="AL148" s="932"/>
      <c r="AM148" s="933"/>
      <c r="AN148" s="933"/>
      <c r="AO148" s="933"/>
      <c r="AP148" s="933"/>
      <c r="AQ148" s="933"/>
      <c r="AR148" s="933"/>
      <c r="AS148" s="933"/>
      <c r="AT148" s="933"/>
      <c r="AU148" s="933"/>
      <c r="AV148" s="933"/>
      <c r="AW148" s="933"/>
      <c r="AX148" s="933"/>
      <c r="AY148" s="933"/>
      <c r="AZ148" s="933"/>
      <c r="BA148" s="933"/>
      <c r="BB148" s="933"/>
      <c r="BC148" s="933"/>
      <c r="BD148" s="933"/>
      <c r="BE148" s="933"/>
      <c r="BF148" s="933"/>
      <c r="BG148" s="933"/>
      <c r="BH148" s="933"/>
      <c r="BI148" s="933"/>
      <c r="BJ148" s="1040"/>
      <c r="BK148" s="172"/>
    </row>
    <row r="149" spans="2:63" hidden="1" x14ac:dyDescent="0.3">
      <c r="B149" s="199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172"/>
    </row>
    <row r="150" spans="2:63" ht="15.6" hidden="1" x14ac:dyDescent="0.3">
      <c r="B150" s="199"/>
      <c r="C150" s="919" t="s">
        <v>138</v>
      </c>
      <c r="D150" s="920"/>
      <c r="E150" s="920"/>
      <c r="F150" s="920"/>
      <c r="G150" s="920"/>
      <c r="H150" s="920"/>
      <c r="I150" s="920"/>
      <c r="J150" s="920"/>
      <c r="K150" s="920"/>
      <c r="L150" s="920"/>
      <c r="M150" s="920"/>
      <c r="N150" s="920"/>
      <c r="O150" s="920"/>
      <c r="P150" s="920"/>
      <c r="Q150" s="921"/>
      <c r="R150" s="998" t="s">
        <v>139</v>
      </c>
      <c r="S150" s="999"/>
      <c r="T150" s="999"/>
      <c r="U150" s="999"/>
      <c r="V150" s="999"/>
      <c r="W150" s="999"/>
      <c r="X150" s="999"/>
      <c r="Y150" s="999"/>
      <c r="Z150" s="999"/>
      <c r="AA150" s="999"/>
      <c r="AB150" s="999"/>
      <c r="AC150" s="999"/>
      <c r="AD150" s="1000"/>
      <c r="AE150" s="1015"/>
      <c r="AF150" s="1016"/>
      <c r="AG150" s="1016"/>
      <c r="AH150" s="1016"/>
      <c r="AI150" s="1017"/>
      <c r="AJ150" s="1004" t="s">
        <v>140</v>
      </c>
      <c r="AK150" s="1005"/>
      <c r="AL150" s="1005"/>
      <c r="AM150" s="1005"/>
      <c r="AN150" s="1006"/>
      <c r="AO150" s="1018"/>
      <c r="AP150" s="1019"/>
      <c r="AQ150" s="1019"/>
      <c r="AR150" s="1020"/>
      <c r="AS150" s="995" t="s">
        <v>141</v>
      </c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7"/>
      <c r="BH150" s="982" t="s">
        <v>155</v>
      </c>
      <c r="BI150" s="983"/>
      <c r="BJ150" s="1038"/>
      <c r="BK150" s="172"/>
    </row>
    <row r="151" spans="2:63" ht="15.6" hidden="1" x14ac:dyDescent="0.3">
      <c r="B151" s="199"/>
      <c r="C151" s="1012"/>
      <c r="D151" s="1013"/>
      <c r="E151" s="1013"/>
      <c r="F151" s="1013"/>
      <c r="G151" s="1013"/>
      <c r="H151" s="1013"/>
      <c r="I151" s="1013"/>
      <c r="J151" s="1013"/>
      <c r="K151" s="1013"/>
      <c r="L151" s="1013"/>
      <c r="M151" s="1013"/>
      <c r="N151" s="1013"/>
      <c r="O151" s="1013"/>
      <c r="P151" s="1013"/>
      <c r="Q151" s="1014"/>
      <c r="R151" s="998" t="s">
        <v>143</v>
      </c>
      <c r="S151" s="999"/>
      <c r="T151" s="999"/>
      <c r="U151" s="999"/>
      <c r="V151" s="999"/>
      <c r="W151" s="999"/>
      <c r="X151" s="999"/>
      <c r="Y151" s="999"/>
      <c r="Z151" s="999"/>
      <c r="AA151" s="999"/>
      <c r="AB151" s="999"/>
      <c r="AC151" s="999"/>
      <c r="AD151" s="1000"/>
      <c r="AE151" s="1001">
        <f>H131</f>
        <v>0</v>
      </c>
      <c r="AF151" s="1002"/>
      <c r="AG151" s="1002"/>
      <c r="AH151" s="1002"/>
      <c r="AI151" s="1003"/>
      <c r="AJ151" s="1004" t="s">
        <v>144</v>
      </c>
      <c r="AK151" s="1005"/>
      <c r="AL151" s="1005"/>
      <c r="AM151" s="1005"/>
      <c r="AN151" s="1006"/>
      <c r="AO151" s="1007">
        <f>M131</f>
        <v>0</v>
      </c>
      <c r="AP151" s="1008"/>
      <c r="AQ151" s="1008"/>
      <c r="AR151" s="1009"/>
      <c r="AS151" s="1010"/>
      <c r="AT151" s="1011"/>
      <c r="AU151" s="1011"/>
      <c r="AV151" s="1011"/>
      <c r="AW151" s="1011"/>
      <c r="AX151" s="1011"/>
      <c r="AY151" s="1011"/>
      <c r="AZ151" s="1011"/>
      <c r="BA151" s="1011"/>
      <c r="BB151" s="1011"/>
      <c r="BC151" s="1011"/>
      <c r="BD151" s="1011"/>
      <c r="BE151" s="1011"/>
      <c r="BF151" s="1011"/>
      <c r="BG151" s="1011"/>
      <c r="BH151" s="1011"/>
      <c r="BI151" s="1011"/>
      <c r="BJ151" s="1039"/>
      <c r="BK151" s="172"/>
    </row>
    <row r="152" spans="2:63" ht="15.6" hidden="1" customHeight="1" x14ac:dyDescent="0.3">
      <c r="B152" s="199"/>
      <c r="C152" s="922"/>
      <c r="D152" s="923"/>
      <c r="E152" s="923"/>
      <c r="F152" s="923"/>
      <c r="G152" s="923"/>
      <c r="H152" s="923"/>
      <c r="I152" s="923"/>
      <c r="J152" s="923"/>
      <c r="K152" s="923"/>
      <c r="L152" s="923"/>
      <c r="M152" s="923"/>
      <c r="N152" s="923"/>
      <c r="O152" s="923"/>
      <c r="P152" s="923"/>
      <c r="Q152" s="924"/>
      <c r="R152" s="998" t="s">
        <v>136</v>
      </c>
      <c r="S152" s="999"/>
      <c r="T152" s="999"/>
      <c r="U152" s="999"/>
      <c r="V152" s="999"/>
      <c r="W152" s="999"/>
      <c r="X152" s="999"/>
      <c r="Y152" s="999"/>
      <c r="Z152" s="999"/>
      <c r="AA152" s="999"/>
      <c r="AB152" s="999"/>
      <c r="AC152" s="999"/>
      <c r="AD152" s="999"/>
      <c r="AE152" s="999"/>
      <c r="AF152" s="999"/>
      <c r="AG152" s="999"/>
      <c r="AH152" s="999"/>
      <c r="AI152" s="999"/>
      <c r="AJ152" s="999"/>
      <c r="AK152" s="999"/>
      <c r="AL152" s="1000"/>
      <c r="AM152" s="929" t="str">
        <f>IF(BH150="Sim","De:",IF(OR(BH150="Não",BH150=""),"Atual:",""))</f>
        <v>Atual:</v>
      </c>
      <c r="AN152" s="930"/>
      <c r="AO152" s="931"/>
      <c r="AP152" s="1021" t="s">
        <v>808</v>
      </c>
      <c r="AQ152" s="1022"/>
      <c r="AR152" s="1022"/>
      <c r="AS152" s="1022"/>
      <c r="AT152" s="1022"/>
      <c r="AU152" s="1022"/>
      <c r="AV152" s="1022"/>
      <c r="AW152" s="1022"/>
      <c r="AX152" s="1023"/>
      <c r="AY152" s="979" t="str">
        <f>IF(BH150="Sim","Para:","")</f>
        <v/>
      </c>
      <c r="AZ152" s="980"/>
      <c r="BA152" s="981"/>
      <c r="BB152" s="982" t="s">
        <v>809</v>
      </c>
      <c r="BC152" s="983"/>
      <c r="BD152" s="983"/>
      <c r="BE152" s="983"/>
      <c r="BF152" s="983"/>
      <c r="BG152" s="983"/>
      <c r="BH152" s="983"/>
      <c r="BI152" s="983"/>
      <c r="BJ152" s="1038"/>
      <c r="BK152" s="172"/>
    </row>
    <row r="153" spans="2:63" hidden="1" x14ac:dyDescent="0.3">
      <c r="B153" s="199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172"/>
    </row>
    <row r="154" spans="2:63" ht="20.100000000000001" customHeight="1" x14ac:dyDescent="0.3">
      <c r="B154" s="199"/>
      <c r="C154" s="989" t="s">
        <v>145</v>
      </c>
      <c r="D154" s="990"/>
      <c r="E154" s="990"/>
      <c r="F154" s="990"/>
      <c r="G154" s="990"/>
      <c r="H154" s="990"/>
      <c r="I154" s="990"/>
      <c r="J154" s="990"/>
      <c r="K154" s="990"/>
      <c r="L154" s="990"/>
      <c r="M154" s="990"/>
      <c r="N154" s="990"/>
      <c r="O154" s="990"/>
      <c r="P154" s="990"/>
      <c r="Q154" s="990"/>
      <c r="R154" s="990"/>
      <c r="S154" s="990"/>
      <c r="T154" s="990"/>
      <c r="U154" s="990"/>
      <c r="V154" s="990"/>
      <c r="W154" s="990"/>
      <c r="X154" s="990"/>
      <c r="Y154" s="990"/>
      <c r="Z154" s="990"/>
      <c r="AA154" s="990"/>
      <c r="AB154" s="990"/>
      <c r="AC154" s="990"/>
      <c r="AD154" s="991"/>
      <c r="AE154" s="992"/>
      <c r="AF154" s="993"/>
      <c r="AG154" s="994"/>
      <c r="AH154" s="138"/>
      <c r="AI154" s="775"/>
      <c r="AJ154" s="775"/>
      <c r="AK154" s="775"/>
      <c r="AL154" s="775"/>
      <c r="AM154" s="775"/>
      <c r="AN154" s="775"/>
      <c r="AO154" s="775"/>
      <c r="AP154" s="775"/>
      <c r="AQ154" s="775"/>
      <c r="AR154" s="775"/>
      <c r="AS154" s="775"/>
      <c r="AT154" s="775"/>
      <c r="AU154" s="775"/>
      <c r="AV154" s="775"/>
      <c r="AW154" s="775"/>
      <c r="AX154" s="775"/>
      <c r="AY154" s="775"/>
      <c r="AZ154" s="775"/>
      <c r="BA154" s="775"/>
      <c r="BB154" s="775"/>
      <c r="BC154" s="775"/>
      <c r="BD154" s="775"/>
      <c r="BE154" s="775"/>
      <c r="BF154" s="775"/>
      <c r="BG154" s="775"/>
      <c r="BH154" s="775"/>
      <c r="BI154" s="775"/>
      <c r="BJ154" s="775"/>
      <c r="BK154" s="172"/>
    </row>
    <row r="155" spans="2:63" ht="3.6" customHeight="1" x14ac:dyDescent="0.3">
      <c r="B155" s="199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172"/>
    </row>
    <row r="156" spans="2:63" ht="15.6" x14ac:dyDescent="0.3">
      <c r="B156" s="199"/>
      <c r="C156" s="1026" t="str">
        <f>IF(AND(AE154="Sim",OR(AG147&gt;112.5,AE151&gt;112.5,AE150&gt;112.5)),"Conforme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156" s="1027"/>
      <c r="E156" s="1027"/>
      <c r="F156" s="1027"/>
      <c r="G156" s="1027"/>
      <c r="H156" s="1027"/>
      <c r="I156" s="1027"/>
      <c r="J156" s="1027"/>
      <c r="K156" s="1027"/>
      <c r="L156" s="1027"/>
      <c r="M156" s="1027"/>
      <c r="N156" s="1027"/>
      <c r="O156" s="1027"/>
      <c r="P156" s="1027"/>
      <c r="Q156" s="1027"/>
      <c r="R156" s="1027"/>
      <c r="S156" s="1027"/>
      <c r="T156" s="1027"/>
      <c r="U156" s="1027"/>
      <c r="V156" s="1027"/>
      <c r="W156" s="1027"/>
      <c r="X156" s="1027"/>
      <c r="Y156" s="1027"/>
      <c r="Z156" s="1027"/>
      <c r="AA156" s="1027"/>
      <c r="AB156" s="1027"/>
      <c r="AC156" s="1027"/>
      <c r="AD156" s="1027"/>
      <c r="AE156" s="1027"/>
      <c r="AF156" s="1027"/>
      <c r="AG156" s="1027"/>
      <c r="AH156" s="1027"/>
      <c r="AI156" s="1027"/>
      <c r="AJ156" s="1027"/>
      <c r="AK156" s="1027"/>
      <c r="AL156" s="1027"/>
      <c r="AM156" s="1027"/>
      <c r="AN156" s="1027"/>
      <c r="AO156" s="1027"/>
      <c r="AP156" s="1027"/>
      <c r="AQ156" s="1027"/>
      <c r="AR156" s="1027"/>
      <c r="AS156" s="1027"/>
      <c r="AT156" s="1027"/>
      <c r="AU156" s="1027"/>
      <c r="AV156" s="1027"/>
      <c r="AW156" s="1027"/>
      <c r="AX156" s="1027"/>
      <c r="AY156" s="1027"/>
      <c r="AZ156" s="1027"/>
      <c r="BA156" s="1027"/>
      <c r="BB156" s="1027"/>
      <c r="BC156" s="1027"/>
      <c r="BD156" s="1027"/>
      <c r="BE156" s="1027"/>
      <c r="BF156" s="1027"/>
      <c r="BG156" s="1027"/>
      <c r="BH156" s="1027"/>
      <c r="BI156" s="1027"/>
      <c r="BJ156" s="1041"/>
      <c r="BK156" s="172"/>
    </row>
    <row r="157" spans="2:63" ht="3.6" customHeight="1" x14ac:dyDescent="0.3">
      <c r="B157" s="199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172"/>
    </row>
    <row r="158" spans="2:63" ht="20.100000000000001" customHeight="1" x14ac:dyDescent="0.3">
      <c r="B158" s="199"/>
      <c r="C158" s="1028" t="s">
        <v>146</v>
      </c>
      <c r="D158" s="1028"/>
      <c r="E158" s="1028"/>
      <c r="F158" s="1028"/>
      <c r="G158" s="1028"/>
      <c r="H158" s="1028"/>
      <c r="I158" s="1028"/>
      <c r="J158" s="1028"/>
      <c r="K158" s="1028"/>
      <c r="L158" s="1028"/>
      <c r="M158" s="1028"/>
      <c r="N158" s="1028"/>
      <c r="O158" s="1028"/>
      <c r="P158" s="1028"/>
      <c r="Q158" s="1028"/>
      <c r="R158" s="1028"/>
      <c r="S158" s="1028"/>
      <c r="T158" s="1028"/>
      <c r="U158" s="1028"/>
      <c r="V158" s="1028"/>
      <c r="W158" s="1028"/>
      <c r="X158" s="1028"/>
      <c r="Y158" s="1028"/>
      <c r="Z158" s="1028"/>
      <c r="AA158" s="986"/>
      <c r="AB158" s="986"/>
      <c r="AC158" s="986"/>
      <c r="AD158" s="986"/>
      <c r="AE158" s="986"/>
      <c r="AF158" s="979" t="s">
        <v>147</v>
      </c>
      <c r="AG158" s="980"/>
      <c r="AH158" s="980"/>
      <c r="AI158" s="980"/>
      <c r="AJ158" s="980"/>
      <c r="AK158" s="980"/>
      <c r="AL158" s="980"/>
      <c r="AM158" s="980"/>
      <c r="AN158" s="980"/>
      <c r="AO158" s="980"/>
      <c r="AP158" s="980"/>
      <c r="AQ158" s="981"/>
      <c r="AR158" s="986"/>
      <c r="AS158" s="986"/>
      <c r="AT158" s="986"/>
      <c r="AU158" s="1042"/>
      <c r="AV158" s="1043"/>
      <c r="AW158" s="1043"/>
      <c r="AX158" s="1043"/>
      <c r="AY158" s="1043"/>
      <c r="AZ158" s="1043"/>
      <c r="BA158" s="1043"/>
      <c r="BB158" s="1043"/>
      <c r="BC158" s="1043"/>
      <c r="BD158" s="1043"/>
      <c r="BE158" s="1043"/>
      <c r="BF158" s="1043"/>
      <c r="BG158" s="1043"/>
      <c r="BH158" s="1043"/>
      <c r="BI158" s="1043"/>
      <c r="BJ158" s="1044"/>
      <c r="BK158" s="172"/>
    </row>
    <row r="159" spans="2:63" ht="3.9" customHeight="1" x14ac:dyDescent="0.3">
      <c r="B159" s="199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172"/>
    </row>
    <row r="160" spans="2:63" ht="15.6" x14ac:dyDescent="0.3">
      <c r="B160" s="199"/>
      <c r="C160" s="944" t="s">
        <v>148</v>
      </c>
      <c r="D160" s="945"/>
      <c r="E160" s="945"/>
      <c r="F160" s="945"/>
      <c r="G160" s="945"/>
      <c r="H160" s="945"/>
      <c r="I160" s="945"/>
      <c r="J160" s="945"/>
      <c r="K160" s="945"/>
      <c r="L160" s="945"/>
      <c r="M160" s="945"/>
      <c r="N160" s="945"/>
      <c r="O160" s="945"/>
      <c r="P160" s="946"/>
      <c r="Q160" s="259"/>
      <c r="R160" s="925" t="str">
        <f>IF(AA158="Verde","Demanda em kw*:","Demanda Ponta:*")</f>
        <v>Demanda Ponta:*</v>
      </c>
      <c r="S160" s="926"/>
      <c r="T160" s="926"/>
      <c r="U160" s="926"/>
      <c r="V160" s="926"/>
      <c r="W160" s="926"/>
      <c r="X160" s="926"/>
      <c r="Y160" s="926"/>
      <c r="Z160" s="926"/>
      <c r="AA160" s="926"/>
      <c r="AB160" s="926"/>
      <c r="AC160" s="926"/>
      <c r="AD160" s="927"/>
      <c r="AE160" s="36"/>
      <c r="AF160" s="934"/>
      <c r="AG160" s="934"/>
      <c r="AH160" s="934"/>
      <c r="AI160" s="934"/>
      <c r="AJ160" s="36"/>
      <c r="AK160" s="935"/>
      <c r="AL160" s="935"/>
      <c r="AM160" s="935"/>
      <c r="AN160" s="935"/>
      <c r="AO160" s="935"/>
      <c r="AP160" s="935"/>
      <c r="AQ160" s="935"/>
      <c r="AR160" s="935"/>
      <c r="AS160" s="141"/>
      <c r="AT160" s="1058"/>
      <c r="AU160" s="1058"/>
      <c r="AV160" s="1058"/>
      <c r="AW160" s="1058"/>
      <c r="AX160" s="36"/>
      <c r="AY160" s="937"/>
      <c r="AZ160" s="937"/>
      <c r="BA160" s="937"/>
      <c r="BB160" s="937"/>
      <c r="BC160" s="937"/>
      <c r="BD160" s="937"/>
      <c r="BE160" s="937"/>
      <c r="BF160" s="937"/>
      <c r="BG160" s="937"/>
      <c r="BH160" s="937"/>
      <c r="BI160" s="937"/>
      <c r="BJ160" s="937"/>
      <c r="BK160" s="172"/>
    </row>
    <row r="161" spans="2:63" ht="15.6" x14ac:dyDescent="0.3">
      <c r="B161" s="199"/>
      <c r="C161" s="947"/>
      <c r="D161" s="948"/>
      <c r="E161" s="948"/>
      <c r="F161" s="948"/>
      <c r="G161" s="948"/>
      <c r="H161" s="948"/>
      <c r="I161" s="948"/>
      <c r="J161" s="948"/>
      <c r="K161" s="948"/>
      <c r="L161" s="948"/>
      <c r="M161" s="948"/>
      <c r="N161" s="948"/>
      <c r="O161" s="948"/>
      <c r="P161" s="949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140"/>
      <c r="AY161" s="937"/>
      <c r="AZ161" s="937"/>
      <c r="BA161" s="937"/>
      <c r="BB161" s="937"/>
      <c r="BC161" s="937"/>
      <c r="BD161" s="937"/>
      <c r="BE161" s="937"/>
      <c r="BF161" s="937"/>
      <c r="BG161" s="937"/>
      <c r="BH161" s="937"/>
      <c r="BI161" s="937"/>
      <c r="BJ161" s="937"/>
      <c r="BK161" s="172"/>
    </row>
    <row r="162" spans="2:63" ht="15.6" x14ac:dyDescent="0.3">
      <c r="B162" s="199"/>
      <c r="C162" s="950"/>
      <c r="D162" s="951"/>
      <c r="E162" s="951"/>
      <c r="F162" s="951"/>
      <c r="G162" s="951"/>
      <c r="H162" s="951"/>
      <c r="I162" s="951"/>
      <c r="J162" s="951"/>
      <c r="K162" s="951"/>
      <c r="L162" s="951"/>
      <c r="M162" s="951"/>
      <c r="N162" s="951"/>
      <c r="O162" s="951"/>
      <c r="P162" s="952"/>
      <c r="Q162" s="138"/>
      <c r="R162" s="938" t="str">
        <f>IF(AA158="Verde","","Demanda Fora Ponta:*")</f>
        <v>Demanda Fora Ponta:*</v>
      </c>
      <c r="S162" s="939"/>
      <c r="T162" s="939"/>
      <c r="U162" s="939"/>
      <c r="V162" s="939"/>
      <c r="W162" s="939"/>
      <c r="X162" s="939"/>
      <c r="Y162" s="939"/>
      <c r="Z162" s="939"/>
      <c r="AA162" s="939"/>
      <c r="AB162" s="939"/>
      <c r="AC162" s="939"/>
      <c r="AD162" s="940"/>
      <c r="AE162" s="36"/>
      <c r="AF162" s="941"/>
      <c r="AG162" s="942"/>
      <c r="AH162" s="942"/>
      <c r="AI162" s="943"/>
      <c r="AJ162" s="36"/>
      <c r="AK162" s="935"/>
      <c r="AL162" s="935"/>
      <c r="AM162" s="935"/>
      <c r="AN162" s="935"/>
      <c r="AO162" s="935"/>
      <c r="AP162" s="935"/>
      <c r="AQ162" s="935"/>
      <c r="AR162" s="935"/>
      <c r="AS162" s="141"/>
      <c r="AT162" s="1058"/>
      <c r="AU162" s="1058"/>
      <c r="AV162" s="1058"/>
      <c r="AW162" s="1058"/>
      <c r="AX162" s="140"/>
      <c r="AY162" s="937"/>
      <c r="AZ162" s="937"/>
      <c r="BA162" s="937"/>
      <c r="BB162" s="937"/>
      <c r="BC162" s="937"/>
      <c r="BD162" s="937"/>
      <c r="BE162" s="937"/>
      <c r="BF162" s="937"/>
      <c r="BG162" s="937"/>
      <c r="BH162" s="937"/>
      <c r="BI162" s="937"/>
      <c r="BJ162" s="937"/>
      <c r="BK162" s="172"/>
    </row>
    <row r="163" spans="2:63" ht="3.9" customHeight="1" x14ac:dyDescent="0.3">
      <c r="B163" s="199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172"/>
    </row>
    <row r="164" spans="2:63" x14ac:dyDescent="0.3">
      <c r="B164" s="199"/>
      <c r="C164" s="1025" t="s">
        <v>149</v>
      </c>
      <c r="D164" s="988"/>
      <c r="E164" s="988"/>
      <c r="F164" s="988"/>
      <c r="G164" s="988"/>
      <c r="H164" s="988"/>
      <c r="I164" s="988"/>
      <c r="J164" s="988"/>
      <c r="K164" s="988"/>
      <c r="L164" s="988"/>
      <c r="M164" s="988"/>
      <c r="N164" s="988"/>
      <c r="O164" s="988"/>
      <c r="P164" s="988"/>
      <c r="Q164" s="988"/>
      <c r="R164" s="988"/>
      <c r="S164" s="988"/>
      <c r="T164" s="988"/>
      <c r="U164" s="988"/>
      <c r="V164" s="988"/>
      <c r="W164" s="988"/>
      <c r="X164" s="988"/>
      <c r="Y164" s="988"/>
      <c r="Z164" s="988"/>
      <c r="AA164" s="988"/>
      <c r="AB164" s="988"/>
      <c r="AC164" s="988"/>
      <c r="AD164" s="988"/>
      <c r="AE164" s="988"/>
      <c r="AF164" s="988"/>
      <c r="AG164" s="988"/>
      <c r="AH164" s="988"/>
      <c r="AI164" s="988"/>
      <c r="AJ164" s="988"/>
      <c r="AK164" s="988"/>
      <c r="AL164" s="988"/>
      <c r="AM164" s="988"/>
      <c r="AN164" s="988"/>
      <c r="AO164" s="988"/>
      <c r="AP164" s="988"/>
      <c r="AQ164" s="988"/>
      <c r="AR164" s="988"/>
      <c r="AS164" s="988"/>
      <c r="AT164" s="988"/>
      <c r="AU164" s="988"/>
      <c r="AV164" s="988"/>
      <c r="AW164" s="988"/>
      <c r="AX164" s="988"/>
      <c r="AY164" s="988"/>
      <c r="AZ164" s="988"/>
      <c r="BA164" s="988"/>
      <c r="BB164" s="988"/>
      <c r="BC164" s="988"/>
      <c r="BD164" s="988"/>
      <c r="BE164" s="988"/>
      <c r="BF164" s="988"/>
      <c r="BG164" s="988"/>
      <c r="BH164" s="988"/>
      <c r="BI164" s="988"/>
      <c r="BJ164" s="1045"/>
      <c r="BK164" s="172"/>
    </row>
    <row r="165" spans="2:63" ht="20.100000000000001" customHeight="1" x14ac:dyDescent="0.3">
      <c r="B165" s="199"/>
      <c r="C165" s="917" t="str" cm="1">
        <f t="array" ref="C165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165" s="917"/>
      <c r="E165" s="917"/>
      <c r="F165" s="917"/>
      <c r="G165" s="917"/>
      <c r="H165" s="917"/>
      <c r="I165" s="917"/>
      <c r="J165" s="917"/>
      <c r="K165" s="917"/>
      <c r="L165" s="917"/>
      <c r="M165" s="917"/>
      <c r="N165" s="917"/>
      <c r="O165" s="917"/>
      <c r="P165" s="917"/>
      <c r="Q165" s="972"/>
      <c r="R165" s="917" t="str">
        <f>IF(AND(AR158="Sim",AA158="Azul"),"Demanda ponta?:","")</f>
        <v/>
      </c>
      <c r="S165" s="917"/>
      <c r="T165" s="917"/>
      <c r="U165" s="917"/>
      <c r="V165" s="917"/>
      <c r="W165" s="917"/>
      <c r="X165" s="917"/>
      <c r="Y165" s="918"/>
      <c r="Z165" s="918"/>
      <c r="AA165" s="918"/>
      <c r="AB165" s="918"/>
      <c r="AC165" s="918"/>
      <c r="AD165" s="918"/>
      <c r="AE165" s="918"/>
      <c r="AF165" s="953" t="str">
        <f>IF(AND(AR158="Sim",AA158="Azul"),"Demanda fora de ponta?:","")</f>
        <v/>
      </c>
      <c r="AG165" s="954"/>
      <c r="AH165" s="954"/>
      <c r="AI165" s="954"/>
      <c r="AJ165" s="954"/>
      <c r="AK165" s="954"/>
      <c r="AL165" s="954"/>
      <c r="AM165" s="954"/>
      <c r="AN165" s="954"/>
      <c r="AO165" s="955"/>
      <c r="AP165" s="956"/>
      <c r="AQ165" s="957"/>
      <c r="AR165" s="957"/>
      <c r="AS165" s="957"/>
      <c r="AT165" s="957"/>
      <c r="AU165" s="957"/>
      <c r="AV165" s="958"/>
      <c r="AW165" s="959" t="str">
        <f>IF(AR158="Sim","Início de Uso:*","")</f>
        <v/>
      </c>
      <c r="AX165" s="959"/>
      <c r="AY165" s="959"/>
      <c r="AZ165" s="959"/>
      <c r="BA165" s="959"/>
      <c r="BB165" s="959"/>
      <c r="BC165" s="1059"/>
      <c r="BD165" s="1059"/>
      <c r="BE165" s="1059"/>
      <c r="BF165" s="1059"/>
      <c r="BG165" s="1059"/>
      <c r="BH165" s="1059"/>
      <c r="BI165" s="1059"/>
      <c r="BJ165" s="1059"/>
      <c r="BK165" s="172"/>
    </row>
    <row r="166" spans="2:63" ht="20.100000000000001" customHeight="1" x14ac:dyDescent="0.3">
      <c r="B166" s="199"/>
      <c r="C166" s="917" t="str" cm="1">
        <f t="array" ref="C166">_xlfn.IFS(AND('Formulário MT'!$AD$34&lt;&gt;"Conexão Nova",AR158="Sim"),"Demanda contratada futura KW:**",AND('Formulário MT'!$AD$34="Conexão Nova",AR158="Sim"),"Demanda contratada KW:*",TRUE,"demanda escalonada")</f>
        <v>demanda escalonada</v>
      </c>
      <c r="D166" s="917"/>
      <c r="E166" s="917"/>
      <c r="F166" s="917"/>
      <c r="G166" s="917"/>
      <c r="H166" s="917"/>
      <c r="I166" s="917"/>
      <c r="J166" s="917"/>
      <c r="K166" s="917"/>
      <c r="L166" s="917"/>
      <c r="M166" s="917"/>
      <c r="N166" s="917"/>
      <c r="O166" s="917"/>
      <c r="P166" s="917"/>
      <c r="Q166" s="972"/>
      <c r="R166" s="917" t="str">
        <f>IF(AND(AR158="Sim",AA158="Azul"),"Demanda ponta?:","")</f>
        <v/>
      </c>
      <c r="S166" s="917"/>
      <c r="T166" s="917"/>
      <c r="U166" s="917"/>
      <c r="V166" s="917"/>
      <c r="W166" s="917"/>
      <c r="X166" s="917"/>
      <c r="Y166" s="918"/>
      <c r="Z166" s="918"/>
      <c r="AA166" s="918"/>
      <c r="AB166" s="918"/>
      <c r="AC166" s="918"/>
      <c r="AD166" s="918"/>
      <c r="AE166" s="918"/>
      <c r="AF166" s="953" t="str">
        <f>IF(AND(AR158="Sim",AA158="Azul"),"Demanda fora de ponta?:","")</f>
        <v/>
      </c>
      <c r="AG166" s="954"/>
      <c r="AH166" s="954"/>
      <c r="AI166" s="954"/>
      <c r="AJ166" s="954"/>
      <c r="AK166" s="954"/>
      <c r="AL166" s="954"/>
      <c r="AM166" s="954"/>
      <c r="AN166" s="954"/>
      <c r="AO166" s="955"/>
      <c r="AP166" s="956"/>
      <c r="AQ166" s="957"/>
      <c r="AR166" s="957"/>
      <c r="AS166" s="957"/>
      <c r="AT166" s="957"/>
      <c r="AU166" s="957"/>
      <c r="AV166" s="958"/>
      <c r="AW166" s="959" t="str">
        <f>IF(AR158="Sim","Início de Uso:*","")</f>
        <v/>
      </c>
      <c r="AX166" s="959"/>
      <c r="AY166" s="959"/>
      <c r="AZ166" s="959"/>
      <c r="BA166" s="959"/>
      <c r="BB166" s="959"/>
      <c r="BC166" s="1059"/>
      <c r="BD166" s="1059"/>
      <c r="BE166" s="1059"/>
      <c r="BF166" s="1059"/>
      <c r="BG166" s="1059"/>
      <c r="BH166" s="1059"/>
      <c r="BI166" s="1059"/>
      <c r="BJ166" s="1059"/>
      <c r="BK166" s="172"/>
    </row>
    <row r="167" spans="2:63" ht="20.100000000000001" customHeight="1" x14ac:dyDescent="0.3">
      <c r="B167" s="199"/>
      <c r="C167" s="917" t="str" cm="1">
        <f t="array" ref="C167">_xlfn.IFS(AND('Formulário MT'!$AD$34&lt;&gt;"Conexão Nova",AR158="Sim"),"Demanda contratada futura KW:**",AND('Formulário MT'!$AD$34="Conexão Nova",AR158="Sim"),"Demanda contratada KW:*",TRUE,"")</f>
        <v/>
      </c>
      <c r="D167" s="917"/>
      <c r="E167" s="917"/>
      <c r="F167" s="917"/>
      <c r="G167" s="917"/>
      <c r="H167" s="917"/>
      <c r="I167" s="917"/>
      <c r="J167" s="917"/>
      <c r="K167" s="917"/>
      <c r="L167" s="917"/>
      <c r="M167" s="917"/>
      <c r="N167" s="917"/>
      <c r="O167" s="917"/>
      <c r="P167" s="917"/>
      <c r="Q167" s="972"/>
      <c r="R167" s="917" t="str">
        <f>IF(AND(AR158="Sim",AA158="Azul"),"Demanda ponta?:","")</f>
        <v/>
      </c>
      <c r="S167" s="917"/>
      <c r="T167" s="917"/>
      <c r="U167" s="917"/>
      <c r="V167" s="917"/>
      <c r="W167" s="917"/>
      <c r="X167" s="917"/>
      <c r="Y167" s="918"/>
      <c r="Z167" s="918"/>
      <c r="AA167" s="918"/>
      <c r="AB167" s="918"/>
      <c r="AC167" s="918"/>
      <c r="AD167" s="918"/>
      <c r="AE167" s="918"/>
      <c r="AF167" s="953" t="str">
        <f>IF(AND(AR158="Sim",AA158="Azul"),"Demanda fora de ponta?:","")</f>
        <v/>
      </c>
      <c r="AG167" s="954"/>
      <c r="AH167" s="954"/>
      <c r="AI167" s="954"/>
      <c r="AJ167" s="954"/>
      <c r="AK167" s="954"/>
      <c r="AL167" s="954"/>
      <c r="AM167" s="954"/>
      <c r="AN167" s="954"/>
      <c r="AO167" s="955"/>
      <c r="AP167" s="956"/>
      <c r="AQ167" s="957"/>
      <c r="AR167" s="957"/>
      <c r="AS167" s="957"/>
      <c r="AT167" s="957"/>
      <c r="AU167" s="957"/>
      <c r="AV167" s="958"/>
      <c r="AW167" s="959" t="str">
        <f>IF(AR158="Sim","Início de Uso:*","")</f>
        <v/>
      </c>
      <c r="AX167" s="959"/>
      <c r="AY167" s="959"/>
      <c r="AZ167" s="959"/>
      <c r="BA167" s="959"/>
      <c r="BB167" s="959"/>
      <c r="BC167" s="1059"/>
      <c r="BD167" s="1059"/>
      <c r="BE167" s="1059"/>
      <c r="BF167" s="1059"/>
      <c r="BG167" s="1059"/>
      <c r="BH167" s="1059"/>
      <c r="BI167" s="1059"/>
      <c r="BJ167" s="1059"/>
      <c r="BK167" s="172"/>
    </row>
    <row r="168" spans="2:63" ht="20.100000000000001" customHeight="1" x14ac:dyDescent="0.3">
      <c r="B168" s="199"/>
      <c r="C168" s="917" t="str" cm="1">
        <f t="array" ref="C168">_xlfn.IFS(AND('Formulário MT'!$AD$34&lt;&gt;"Conexão Nova",AR158="Sim"),"Demanda contratada futura KW:**",AND('Formulário MT'!$AD$34="Conexão Nova",AR158="Sim"),"Demanda contratada KW:*",TRUE,"")</f>
        <v/>
      </c>
      <c r="D168" s="917"/>
      <c r="E168" s="917"/>
      <c r="F168" s="917"/>
      <c r="G168" s="917"/>
      <c r="H168" s="917"/>
      <c r="I168" s="917"/>
      <c r="J168" s="917"/>
      <c r="K168" s="917"/>
      <c r="L168" s="917"/>
      <c r="M168" s="917"/>
      <c r="N168" s="917"/>
      <c r="O168" s="917"/>
      <c r="P168" s="917"/>
      <c r="Q168" s="972"/>
      <c r="R168" s="917" t="str">
        <f>IF(AND(AR158="Sim",AA158="Azul"),"Demanda ponta?:","")</f>
        <v/>
      </c>
      <c r="S168" s="917"/>
      <c r="T168" s="917"/>
      <c r="U168" s="917"/>
      <c r="V168" s="917"/>
      <c r="W168" s="917"/>
      <c r="X168" s="917"/>
      <c r="Y168" s="918"/>
      <c r="Z168" s="918"/>
      <c r="AA168" s="918"/>
      <c r="AB168" s="918"/>
      <c r="AC168" s="918"/>
      <c r="AD168" s="918"/>
      <c r="AE168" s="918"/>
      <c r="AF168" s="973" t="str">
        <f>IF(AND(AR158="Sim",AA158="Azul"),"Demanda fora de ponta?:","")</f>
        <v/>
      </c>
      <c r="AG168" s="973"/>
      <c r="AH168" s="973"/>
      <c r="AI168" s="973"/>
      <c r="AJ168" s="973"/>
      <c r="AK168" s="973"/>
      <c r="AL168" s="973"/>
      <c r="AM168" s="973"/>
      <c r="AN168" s="973"/>
      <c r="AO168" s="973"/>
      <c r="AP168" s="956"/>
      <c r="AQ168" s="957"/>
      <c r="AR168" s="957"/>
      <c r="AS168" s="957"/>
      <c r="AT168" s="957"/>
      <c r="AU168" s="957"/>
      <c r="AV168" s="958"/>
      <c r="AW168" s="959" t="str">
        <f>IF(AR158="Sim","Início de Uso:*","")</f>
        <v/>
      </c>
      <c r="AX168" s="959"/>
      <c r="AY168" s="959"/>
      <c r="AZ168" s="959"/>
      <c r="BA168" s="959"/>
      <c r="BB168" s="959"/>
      <c r="BC168" s="1059"/>
      <c r="BD168" s="1059"/>
      <c r="BE168" s="1059"/>
      <c r="BF168" s="1059"/>
      <c r="BG168" s="1059"/>
      <c r="BH168" s="1059"/>
      <c r="BI168" s="1059"/>
      <c r="BJ168" s="1059"/>
      <c r="BK168" s="172"/>
    </row>
    <row r="169" spans="2:63" ht="3.9" customHeight="1" x14ac:dyDescent="0.3">
      <c r="B169" s="199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172"/>
    </row>
    <row r="170" spans="2:63" ht="3.9" customHeight="1" x14ac:dyDescent="0.3">
      <c r="B170" s="199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100"/>
      <c r="AP170" s="100"/>
      <c r="AQ170" s="100"/>
      <c r="AR170" s="100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172"/>
    </row>
    <row r="171" spans="2:63" ht="20.100000000000001" customHeight="1" x14ac:dyDescent="0.3">
      <c r="B171" s="199"/>
      <c r="C171" s="962" t="s">
        <v>152</v>
      </c>
      <c r="D171" s="963"/>
      <c r="E171" s="963"/>
      <c r="F171" s="963"/>
      <c r="G171" s="963"/>
      <c r="H171" s="963"/>
      <c r="I171" s="963"/>
      <c r="J171" s="963"/>
      <c r="K171" s="963"/>
      <c r="L171" s="963"/>
      <c r="M171" s="963"/>
      <c r="N171" s="963"/>
      <c r="O171" s="963"/>
      <c r="P171" s="963"/>
      <c r="Q171" s="963"/>
      <c r="R171" s="963"/>
      <c r="S171" s="963"/>
      <c r="T171" s="963"/>
      <c r="U171" s="963"/>
      <c r="V171" s="963"/>
      <c r="W171" s="963"/>
      <c r="X171" s="963"/>
      <c r="Y171" s="963"/>
      <c r="Z171" s="963"/>
      <c r="AA171" s="963"/>
      <c r="AB171" s="963"/>
      <c r="AC171" s="963"/>
      <c r="AD171" s="963"/>
      <c r="AE171" s="963"/>
      <c r="AF171" s="963"/>
      <c r="AG171" s="963"/>
      <c r="AH171" s="963"/>
      <c r="AI171" s="963"/>
      <c r="AJ171" s="963"/>
      <c r="AK171" s="964"/>
      <c r="AL171" s="965"/>
      <c r="AM171" s="966"/>
      <c r="AN171" s="967"/>
      <c r="AO171" s="968" t="str">
        <f>IF(AL171="Sim","Informar potência da geração:","")</f>
        <v/>
      </c>
      <c r="AP171" s="969"/>
      <c r="AQ171" s="969"/>
      <c r="AR171" s="969"/>
      <c r="AS171" s="969"/>
      <c r="AT171" s="969"/>
      <c r="AU171" s="969"/>
      <c r="AV171" s="969"/>
      <c r="AW171" s="969"/>
      <c r="AX171" s="969"/>
      <c r="AY171" s="969"/>
      <c r="AZ171" s="969"/>
      <c r="BA171" s="969"/>
      <c r="BB171" s="969"/>
      <c r="BC171" s="969"/>
      <c r="BD171" s="969"/>
      <c r="BE171" s="969"/>
      <c r="BF171" s="970"/>
      <c r="BG171" s="971"/>
      <c r="BH171" s="971"/>
      <c r="BI171" s="971"/>
      <c r="BJ171" s="1047"/>
      <c r="BK171" s="172"/>
    </row>
    <row r="172" spans="2:63" ht="3.9" customHeight="1" x14ac:dyDescent="0.3">
      <c r="B172" s="199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94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172"/>
    </row>
    <row r="173" spans="2:63" ht="20.100000000000001" customHeight="1" x14ac:dyDescent="0.3">
      <c r="B173" s="199"/>
      <c r="C173" s="968" t="s">
        <v>153</v>
      </c>
      <c r="D173" s="969"/>
      <c r="E173" s="969"/>
      <c r="F173" s="969"/>
      <c r="G173" s="969"/>
      <c r="H173" s="969"/>
      <c r="I173" s="969"/>
      <c r="J173" s="969"/>
      <c r="K173" s="969"/>
      <c r="L173" s="969"/>
      <c r="M173" s="969"/>
      <c r="N173" s="969"/>
      <c r="O173" s="969"/>
      <c r="P173" s="969"/>
      <c r="Q173" s="969"/>
      <c r="R173" s="969"/>
      <c r="S173" s="969"/>
      <c r="T173" s="969"/>
      <c r="U173" s="969"/>
      <c r="V173" s="969"/>
      <c r="W173" s="969"/>
      <c r="X173" s="969"/>
      <c r="Y173" s="969"/>
      <c r="Z173" s="969"/>
      <c r="AA173" s="969"/>
      <c r="AB173" s="969"/>
      <c r="AC173" s="969"/>
      <c r="AD173" s="969"/>
      <c r="AE173" s="969"/>
      <c r="AF173" s="969"/>
      <c r="AG173" s="969"/>
      <c r="AH173" s="969"/>
      <c r="AI173" s="969"/>
      <c r="AJ173" s="969"/>
      <c r="AK173" s="978"/>
      <c r="AL173" s="965"/>
      <c r="AM173" s="966"/>
      <c r="AN173" s="967"/>
      <c r="AO173" s="968" t="str">
        <f>IF(AL173="Sim","Informar potência da geração:","")</f>
        <v/>
      </c>
      <c r="AP173" s="969"/>
      <c r="AQ173" s="969"/>
      <c r="AR173" s="969"/>
      <c r="AS173" s="969"/>
      <c r="AT173" s="969"/>
      <c r="AU173" s="969"/>
      <c r="AV173" s="969"/>
      <c r="AW173" s="969"/>
      <c r="AX173" s="969"/>
      <c r="AY173" s="969"/>
      <c r="AZ173" s="969"/>
      <c r="BA173" s="969"/>
      <c r="BB173" s="969"/>
      <c r="BC173" s="969"/>
      <c r="BD173" s="969"/>
      <c r="BE173" s="969"/>
      <c r="BF173" s="984"/>
      <c r="BG173" s="985"/>
      <c r="BH173" s="985"/>
      <c r="BI173" s="985"/>
      <c r="BJ173" s="1046"/>
      <c r="BK173" s="172"/>
    </row>
    <row r="174" spans="2:63" ht="15" thickBot="1" x14ac:dyDescent="0.35">
      <c r="B174" s="201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3"/>
    </row>
    <row r="175" spans="2:63" x14ac:dyDescent="0.3">
      <c r="B175" s="194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  <c r="AI175" s="195"/>
      <c r="AJ175" s="195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6"/>
    </row>
    <row r="176" spans="2:63" ht="15.6" x14ac:dyDescent="0.3">
      <c r="B176" s="199"/>
      <c r="C176" s="357" t="s">
        <v>803</v>
      </c>
      <c r="D176" s="256"/>
      <c r="E176" s="256"/>
      <c r="F176" s="256"/>
      <c r="G176" s="256">
        <f>($C$2+G119)</f>
        <v>5</v>
      </c>
      <c r="H176" s="358" t="s">
        <v>797</v>
      </c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7"/>
      <c r="U176" s="959" t="s">
        <v>798</v>
      </c>
      <c r="V176" s="959"/>
      <c r="W176" s="959"/>
      <c r="X176" s="959"/>
      <c r="Y176" s="959"/>
      <c r="Z176" s="906"/>
      <c r="AA176" s="906"/>
      <c r="AB176" s="906"/>
      <c r="AC176" s="906"/>
      <c r="AD176" s="906"/>
      <c r="AE176" s="906"/>
      <c r="AF176" s="906"/>
      <c r="AG176" s="906"/>
      <c r="AH176" s="906"/>
      <c r="AI176" s="906"/>
      <c r="AJ176" s="192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7"/>
      <c r="BK176" s="172"/>
    </row>
    <row r="177" spans="2:63" ht="3.9" customHeight="1" x14ac:dyDescent="0.3">
      <c r="B177" s="199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172"/>
    </row>
    <row r="178" spans="2:63" ht="17.399999999999999" x14ac:dyDescent="0.3">
      <c r="B178" s="199"/>
      <c r="C178" s="886" t="s">
        <v>804</v>
      </c>
      <c r="D178" s="887"/>
      <c r="E178" s="887"/>
      <c r="F178" s="887"/>
      <c r="G178" s="887"/>
      <c r="H178" s="887"/>
      <c r="I178" s="887"/>
      <c r="J178" s="887"/>
      <c r="K178" s="887"/>
      <c r="L178" s="887"/>
      <c r="M178" s="887"/>
      <c r="N178" s="887"/>
      <c r="O178" s="887"/>
      <c r="P178" s="887"/>
      <c r="Q178" s="887"/>
      <c r="R178" s="887"/>
      <c r="S178" s="887"/>
      <c r="T178" s="887"/>
      <c r="U178" s="887"/>
      <c r="V178" s="887"/>
      <c r="W178" s="887"/>
      <c r="X178" s="887"/>
      <c r="Y178" s="887"/>
      <c r="Z178" s="887"/>
      <c r="AA178" s="887"/>
      <c r="AB178" s="887"/>
      <c r="AC178" s="887"/>
      <c r="AD178" s="888"/>
      <c r="AE178" s="135"/>
      <c r="AF178" s="135"/>
      <c r="AG178" s="135"/>
      <c r="AH178" s="135"/>
      <c r="AI178" s="889" t="s">
        <v>805</v>
      </c>
      <c r="AJ178" s="889"/>
      <c r="AK178" s="889"/>
      <c r="AL178" s="889"/>
      <c r="AM178" s="889"/>
      <c r="AN178" s="889"/>
      <c r="AO178" s="889"/>
      <c r="AP178" s="889"/>
      <c r="AQ178" s="889"/>
      <c r="AR178" s="889"/>
      <c r="AS178" s="889"/>
      <c r="AT178" s="889"/>
      <c r="AU178" s="889"/>
      <c r="AV178" s="889"/>
      <c r="AW178" s="889"/>
      <c r="AX178" s="889"/>
      <c r="AY178" s="889"/>
      <c r="AZ178" s="889"/>
      <c r="BA178" s="889"/>
      <c r="BB178" s="889"/>
      <c r="BC178" s="889"/>
      <c r="BD178" s="889"/>
      <c r="BE178" s="889"/>
      <c r="BF178" s="889"/>
      <c r="BG178" s="889"/>
      <c r="BH178" s="889"/>
      <c r="BI178" s="889"/>
      <c r="BJ178" s="889"/>
      <c r="BK178" s="172"/>
    </row>
    <row r="179" spans="2:63" ht="3.9" customHeight="1" x14ac:dyDescent="0.3">
      <c r="B179" s="199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7"/>
      <c r="BD179" s="267"/>
      <c r="BE179" s="267"/>
      <c r="BF179" s="267"/>
      <c r="BG179" s="267"/>
      <c r="BH179" s="267"/>
      <c r="BI179" s="267"/>
      <c r="BJ179" s="267"/>
      <c r="BK179" s="172"/>
    </row>
    <row r="180" spans="2:63" ht="20.100000000000001" customHeight="1" x14ac:dyDescent="0.3">
      <c r="B180" s="199"/>
      <c r="C180" s="873" t="s">
        <v>81</v>
      </c>
      <c r="D180" s="874"/>
      <c r="E180" s="874"/>
      <c r="F180" s="874"/>
      <c r="G180" s="874"/>
      <c r="H180" s="890" t="s">
        <v>806</v>
      </c>
      <c r="I180" s="891"/>
      <c r="J180" s="891"/>
      <c r="K180" s="891"/>
      <c r="L180" s="891"/>
      <c r="M180" s="873" t="s">
        <v>83</v>
      </c>
      <c r="N180" s="874"/>
      <c r="O180" s="874"/>
      <c r="P180" s="874"/>
      <c r="Q180" s="874"/>
      <c r="R180" s="892" t="s">
        <v>807</v>
      </c>
      <c r="S180" s="893"/>
      <c r="T180" s="893"/>
      <c r="U180" s="893"/>
      <c r="V180" s="894"/>
      <c r="W180" s="895" t="s">
        <v>84</v>
      </c>
      <c r="X180" s="896"/>
      <c r="Y180" s="896"/>
      <c r="Z180" s="896"/>
      <c r="AA180" s="896"/>
      <c r="AB180" s="896"/>
      <c r="AC180" s="896"/>
      <c r="AD180" s="897"/>
      <c r="AE180" s="134"/>
      <c r="AF180" s="134"/>
      <c r="AG180" s="134"/>
      <c r="AH180" s="134"/>
      <c r="AI180" s="898" t="s">
        <v>85</v>
      </c>
      <c r="AJ180" s="898"/>
      <c r="AK180" s="898"/>
      <c r="AL180" s="898"/>
      <c r="AM180" s="898"/>
      <c r="AN180" s="898"/>
      <c r="AO180" s="898"/>
      <c r="AP180" s="898"/>
      <c r="AQ180" s="898"/>
      <c r="AR180" s="898"/>
      <c r="AS180" s="898"/>
      <c r="AT180" s="898"/>
      <c r="AU180" s="898"/>
      <c r="AV180" s="898"/>
      <c r="AW180" s="898"/>
      <c r="AX180" s="898"/>
      <c r="AY180" s="898"/>
      <c r="AZ180" s="898"/>
      <c r="BA180" s="898"/>
      <c r="BB180" s="898"/>
      <c r="BC180" s="898"/>
      <c r="BD180" s="898"/>
      <c r="BE180" s="898"/>
      <c r="BF180" s="898"/>
      <c r="BG180" s="898"/>
      <c r="BH180" s="898"/>
      <c r="BI180" s="898"/>
      <c r="BJ180" s="898"/>
      <c r="BK180" s="172"/>
    </row>
    <row r="181" spans="2:63" ht="20.100000000000001" customHeight="1" x14ac:dyDescent="0.3">
      <c r="B181" s="199"/>
      <c r="C181" s="873" t="s">
        <v>86</v>
      </c>
      <c r="D181" s="874"/>
      <c r="E181" s="874"/>
      <c r="F181" s="874"/>
      <c r="G181" s="874"/>
      <c r="H181" s="899"/>
      <c r="I181" s="900"/>
      <c r="J181" s="900"/>
      <c r="K181" s="900"/>
      <c r="L181" s="901"/>
      <c r="M181" s="902"/>
      <c r="N181" s="903"/>
      <c r="O181" s="903"/>
      <c r="P181" s="903"/>
      <c r="Q181" s="903"/>
      <c r="R181" s="880"/>
      <c r="S181" s="881"/>
      <c r="T181" s="881"/>
      <c r="U181" s="881"/>
      <c r="V181" s="882"/>
      <c r="W181" s="904"/>
      <c r="X181" s="879"/>
      <c r="Y181" s="879"/>
      <c r="Z181" s="879"/>
      <c r="AA181" s="879"/>
      <c r="AB181" s="879"/>
      <c r="AC181" s="879"/>
      <c r="AD181" s="905"/>
      <c r="AE181" s="133"/>
      <c r="AF181" s="133"/>
      <c r="AG181" s="133"/>
      <c r="AH181" s="133"/>
      <c r="AI181" s="898"/>
      <c r="AJ181" s="898"/>
      <c r="AK181" s="898"/>
      <c r="AL181" s="898"/>
      <c r="AM181" s="898"/>
      <c r="AN181" s="898"/>
      <c r="AO181" s="898"/>
      <c r="AP181" s="898"/>
      <c r="AQ181" s="898"/>
      <c r="AR181" s="898"/>
      <c r="AS181" s="898"/>
      <c r="AT181" s="898"/>
      <c r="AU181" s="898"/>
      <c r="AV181" s="898"/>
      <c r="AW181" s="898"/>
      <c r="AX181" s="898"/>
      <c r="AY181" s="898"/>
      <c r="AZ181" s="898"/>
      <c r="BA181" s="898"/>
      <c r="BB181" s="898"/>
      <c r="BC181" s="898"/>
      <c r="BD181" s="898"/>
      <c r="BE181" s="898"/>
      <c r="BF181" s="898"/>
      <c r="BG181" s="898"/>
      <c r="BH181" s="898"/>
      <c r="BI181" s="898"/>
      <c r="BJ181" s="898"/>
      <c r="BK181" s="172"/>
    </row>
    <row r="182" spans="2:63" ht="20.100000000000001" customHeight="1" x14ac:dyDescent="0.3">
      <c r="B182" s="199"/>
      <c r="C182" s="873" t="s">
        <v>87</v>
      </c>
      <c r="D182" s="874"/>
      <c r="E182" s="874"/>
      <c r="F182" s="874"/>
      <c r="G182" s="874"/>
      <c r="H182" s="875"/>
      <c r="I182" s="876"/>
      <c r="J182" s="876"/>
      <c r="K182" s="876"/>
      <c r="L182" s="877"/>
      <c r="M182" s="878"/>
      <c r="N182" s="879"/>
      <c r="O182" s="879"/>
      <c r="P182" s="879"/>
      <c r="Q182" s="879"/>
      <c r="R182" s="880"/>
      <c r="S182" s="881"/>
      <c r="T182" s="881"/>
      <c r="U182" s="881"/>
      <c r="V182" s="882"/>
      <c r="W182" s="883"/>
      <c r="X182" s="884"/>
      <c r="Y182" s="884"/>
      <c r="Z182" s="884"/>
      <c r="AA182" s="884"/>
      <c r="AB182" s="884"/>
      <c r="AC182" s="884"/>
      <c r="AD182" s="885"/>
      <c r="AE182" s="133"/>
      <c r="AF182" s="133"/>
      <c r="AG182" s="133"/>
      <c r="AH182" s="133"/>
      <c r="AI182" s="267"/>
      <c r="AJ182" s="267"/>
      <c r="AK182" s="267"/>
      <c r="AL182" s="267"/>
      <c r="AM182" s="267"/>
      <c r="AN182" s="267"/>
      <c r="AO182" s="267"/>
      <c r="AP182" s="267"/>
      <c r="AQ182" s="267"/>
      <c r="AR182" s="267"/>
      <c r="AS182" s="267"/>
      <c r="AT182" s="267"/>
      <c r="AU182" s="267"/>
      <c r="AV182" s="267"/>
      <c r="AW182" s="267"/>
      <c r="AX182" s="267"/>
      <c r="AY182" s="267"/>
      <c r="AZ182" s="267"/>
      <c r="BA182" s="267"/>
      <c r="BB182" s="267"/>
      <c r="BC182" s="267"/>
      <c r="BD182" s="267"/>
      <c r="BE182" s="267"/>
      <c r="BF182" s="267"/>
      <c r="BG182" s="267"/>
      <c r="BH182" s="267"/>
      <c r="BI182" s="267"/>
      <c r="BJ182" s="267"/>
      <c r="BK182" s="172"/>
    </row>
    <row r="183" spans="2:63" ht="20.100000000000001" customHeight="1" x14ac:dyDescent="0.3">
      <c r="B183" s="199"/>
      <c r="C183" s="873" t="s">
        <v>88</v>
      </c>
      <c r="D183" s="874"/>
      <c r="E183" s="874"/>
      <c r="F183" s="874"/>
      <c r="G183" s="874"/>
      <c r="H183" s="875"/>
      <c r="I183" s="876"/>
      <c r="J183" s="876"/>
      <c r="K183" s="876"/>
      <c r="L183" s="877"/>
      <c r="M183" s="878"/>
      <c r="N183" s="879"/>
      <c r="O183" s="879"/>
      <c r="P183" s="879"/>
      <c r="Q183" s="879"/>
      <c r="R183" s="880"/>
      <c r="S183" s="881"/>
      <c r="T183" s="881"/>
      <c r="U183" s="881"/>
      <c r="V183" s="882"/>
      <c r="W183" s="883"/>
      <c r="X183" s="884"/>
      <c r="Y183" s="884"/>
      <c r="Z183" s="884"/>
      <c r="AA183" s="884"/>
      <c r="AB183" s="884"/>
      <c r="AC183" s="884"/>
      <c r="AD183" s="885"/>
      <c r="AE183" s="133"/>
      <c r="AF183" s="133"/>
      <c r="AG183" s="133"/>
      <c r="AH183" s="133"/>
      <c r="AI183" s="908" t="s">
        <v>89</v>
      </c>
      <c r="AJ183" s="908"/>
      <c r="AK183" s="908"/>
      <c r="AL183" s="908"/>
      <c r="AM183" s="908"/>
      <c r="AN183" s="908"/>
      <c r="AO183" s="908"/>
      <c r="AP183" s="908"/>
      <c r="AQ183" s="908"/>
      <c r="AR183" s="908"/>
      <c r="AS183" s="908"/>
      <c r="AT183" s="908"/>
      <c r="AU183" s="908"/>
      <c r="AV183" s="908"/>
      <c r="AW183" s="908"/>
      <c r="AX183" s="908"/>
      <c r="AY183" s="908"/>
      <c r="AZ183" s="908"/>
      <c r="BA183" s="723"/>
      <c r="BB183" s="723"/>
      <c r="BC183" s="723"/>
      <c r="BD183" s="723"/>
      <c r="BE183" s="723"/>
      <c r="BF183" s="723"/>
      <c r="BG183" s="723"/>
      <c r="BH183" s="723"/>
      <c r="BI183" s="723"/>
      <c r="BJ183" s="723"/>
      <c r="BK183" s="172"/>
    </row>
    <row r="184" spans="2:63" ht="20.100000000000001" customHeight="1" x14ac:dyDescent="0.3">
      <c r="B184" s="199"/>
      <c r="C184" s="873" t="s">
        <v>90</v>
      </c>
      <c r="D184" s="874"/>
      <c r="E184" s="874"/>
      <c r="F184" s="874"/>
      <c r="G184" s="874"/>
      <c r="H184" s="875"/>
      <c r="I184" s="876"/>
      <c r="J184" s="876"/>
      <c r="K184" s="876"/>
      <c r="L184" s="877"/>
      <c r="M184" s="878"/>
      <c r="N184" s="879"/>
      <c r="O184" s="879"/>
      <c r="P184" s="879"/>
      <c r="Q184" s="879"/>
      <c r="R184" s="880"/>
      <c r="S184" s="881"/>
      <c r="T184" s="881"/>
      <c r="U184" s="881"/>
      <c r="V184" s="882"/>
      <c r="W184" s="883"/>
      <c r="X184" s="884"/>
      <c r="Y184" s="884"/>
      <c r="Z184" s="884"/>
      <c r="AA184" s="884"/>
      <c r="AB184" s="884"/>
      <c r="AC184" s="884"/>
      <c r="AD184" s="885"/>
      <c r="AE184" s="133"/>
      <c r="AF184" s="133"/>
      <c r="AG184" s="133"/>
      <c r="AH184" s="133"/>
      <c r="AI184" s="908"/>
      <c r="AJ184" s="908"/>
      <c r="AK184" s="908"/>
      <c r="AL184" s="908"/>
      <c r="AM184" s="908"/>
      <c r="AN184" s="908"/>
      <c r="AO184" s="908"/>
      <c r="AP184" s="908"/>
      <c r="AQ184" s="908"/>
      <c r="AR184" s="908"/>
      <c r="AS184" s="908"/>
      <c r="AT184" s="908"/>
      <c r="AU184" s="908"/>
      <c r="AV184" s="908"/>
      <c r="AW184" s="908"/>
      <c r="AX184" s="908"/>
      <c r="AY184" s="908"/>
      <c r="AZ184" s="908"/>
      <c r="BA184" s="723"/>
      <c r="BB184" s="723"/>
      <c r="BC184" s="723"/>
      <c r="BD184" s="723"/>
      <c r="BE184" s="723"/>
      <c r="BF184" s="723"/>
      <c r="BG184" s="723"/>
      <c r="BH184" s="723"/>
      <c r="BI184" s="723"/>
      <c r="BJ184" s="723"/>
      <c r="BK184" s="172"/>
    </row>
    <row r="185" spans="2:63" ht="20.100000000000001" customHeight="1" x14ac:dyDescent="0.3">
      <c r="B185" s="199"/>
      <c r="C185" s="873" t="s">
        <v>91</v>
      </c>
      <c r="D185" s="874"/>
      <c r="E185" s="874"/>
      <c r="F185" s="874"/>
      <c r="G185" s="874"/>
      <c r="H185" s="875"/>
      <c r="I185" s="876"/>
      <c r="J185" s="876"/>
      <c r="K185" s="876"/>
      <c r="L185" s="877"/>
      <c r="M185" s="878"/>
      <c r="N185" s="879"/>
      <c r="O185" s="879"/>
      <c r="P185" s="879"/>
      <c r="Q185" s="879"/>
      <c r="R185" s="880"/>
      <c r="S185" s="881"/>
      <c r="T185" s="881"/>
      <c r="U185" s="881"/>
      <c r="V185" s="882"/>
      <c r="W185" s="883"/>
      <c r="X185" s="884"/>
      <c r="Y185" s="884"/>
      <c r="Z185" s="884"/>
      <c r="AA185" s="884"/>
      <c r="AB185" s="884"/>
      <c r="AC185" s="884"/>
      <c r="AD185" s="885"/>
      <c r="AE185" s="133"/>
      <c r="AF185" s="133"/>
      <c r="AG185" s="133"/>
      <c r="AH185" s="133"/>
      <c r="AI185" s="908" t="s">
        <v>92</v>
      </c>
      <c r="AJ185" s="908"/>
      <c r="AK185" s="908"/>
      <c r="AL185" s="908"/>
      <c r="AM185" s="908"/>
      <c r="AN185" s="908"/>
      <c r="AO185" s="908"/>
      <c r="AP185" s="908"/>
      <c r="AQ185" s="908"/>
      <c r="AR185" s="908"/>
      <c r="AS185" s="908"/>
      <c r="AT185" s="908"/>
      <c r="AU185" s="908"/>
      <c r="AV185" s="908"/>
      <c r="AW185" s="908"/>
      <c r="AX185" s="908"/>
      <c r="AY185" s="908"/>
      <c r="AZ185" s="908"/>
      <c r="BA185" s="396"/>
      <c r="BB185" s="396"/>
      <c r="BC185" s="396"/>
      <c r="BD185" s="396"/>
      <c r="BE185" s="396"/>
      <c r="BF185" s="396"/>
      <c r="BG185" s="396"/>
      <c r="BH185" s="396"/>
      <c r="BI185" s="396"/>
      <c r="BJ185" s="396"/>
      <c r="BK185" s="172"/>
    </row>
    <row r="186" spans="2:63" ht="20.100000000000001" customHeight="1" x14ac:dyDescent="0.3">
      <c r="B186" s="199"/>
      <c r="C186" s="873" t="s">
        <v>93</v>
      </c>
      <c r="D186" s="874"/>
      <c r="E186" s="874"/>
      <c r="F186" s="874"/>
      <c r="G186" s="874"/>
      <c r="H186" s="875"/>
      <c r="I186" s="876"/>
      <c r="J186" s="876"/>
      <c r="K186" s="876"/>
      <c r="L186" s="877"/>
      <c r="M186" s="878"/>
      <c r="N186" s="879"/>
      <c r="O186" s="879"/>
      <c r="P186" s="879"/>
      <c r="Q186" s="879"/>
      <c r="R186" s="880"/>
      <c r="S186" s="881"/>
      <c r="T186" s="881"/>
      <c r="U186" s="881"/>
      <c r="V186" s="882"/>
      <c r="W186" s="883"/>
      <c r="X186" s="884"/>
      <c r="Y186" s="884"/>
      <c r="Z186" s="884"/>
      <c r="AA186" s="884"/>
      <c r="AB186" s="884"/>
      <c r="AC186" s="884"/>
      <c r="AD186" s="885"/>
      <c r="AE186" s="133"/>
      <c r="AF186" s="133"/>
      <c r="AG186" s="133"/>
      <c r="AH186" s="133"/>
      <c r="AI186" s="908"/>
      <c r="AJ186" s="908"/>
      <c r="AK186" s="908"/>
      <c r="AL186" s="908"/>
      <c r="AM186" s="908"/>
      <c r="AN186" s="908"/>
      <c r="AO186" s="908"/>
      <c r="AP186" s="908"/>
      <c r="AQ186" s="908"/>
      <c r="AR186" s="908"/>
      <c r="AS186" s="908"/>
      <c r="AT186" s="908"/>
      <c r="AU186" s="908"/>
      <c r="AV186" s="908"/>
      <c r="AW186" s="908"/>
      <c r="AX186" s="908"/>
      <c r="AY186" s="908"/>
      <c r="AZ186" s="908"/>
      <c r="BA186" s="396"/>
      <c r="BB186" s="396"/>
      <c r="BC186" s="396"/>
      <c r="BD186" s="396"/>
      <c r="BE186" s="396"/>
      <c r="BF186" s="396"/>
      <c r="BG186" s="396"/>
      <c r="BH186" s="396"/>
      <c r="BI186" s="396"/>
      <c r="BJ186" s="396"/>
      <c r="BK186" s="172"/>
    </row>
    <row r="187" spans="2:63" ht="20.100000000000001" customHeight="1" x14ac:dyDescent="0.3">
      <c r="B187" s="199"/>
      <c r="C187" s="873" t="s">
        <v>94</v>
      </c>
      <c r="D187" s="874"/>
      <c r="E187" s="874"/>
      <c r="F187" s="874"/>
      <c r="G187" s="874"/>
      <c r="H187" s="875"/>
      <c r="I187" s="876"/>
      <c r="J187" s="876"/>
      <c r="K187" s="876"/>
      <c r="L187" s="877"/>
      <c r="M187" s="916"/>
      <c r="N187" s="916"/>
      <c r="O187" s="916"/>
      <c r="P187" s="916"/>
      <c r="Q187" s="878"/>
      <c r="R187" s="880"/>
      <c r="S187" s="881"/>
      <c r="T187" s="881"/>
      <c r="U187" s="881"/>
      <c r="V187" s="882"/>
      <c r="W187" s="883"/>
      <c r="X187" s="884"/>
      <c r="Y187" s="884"/>
      <c r="Z187" s="884"/>
      <c r="AA187" s="884"/>
      <c r="AB187" s="884"/>
      <c r="AC187" s="884"/>
      <c r="AD187" s="885"/>
      <c r="AE187" s="133"/>
      <c r="AF187" s="133"/>
      <c r="AG187" s="133"/>
      <c r="AH187" s="133"/>
      <c r="AI187" s="908" t="s">
        <v>95</v>
      </c>
      <c r="AJ187" s="908"/>
      <c r="AK187" s="908"/>
      <c r="AL187" s="908"/>
      <c r="AM187" s="908"/>
      <c r="AN187" s="908"/>
      <c r="AO187" s="908"/>
      <c r="AP187" s="908"/>
      <c r="AQ187" s="908"/>
      <c r="AR187" s="908"/>
      <c r="AS187" s="908"/>
      <c r="AT187" s="908"/>
      <c r="AU187" s="908"/>
      <c r="AV187" s="908"/>
      <c r="AW187" s="908"/>
      <c r="AX187" s="908"/>
      <c r="AY187" s="908"/>
      <c r="AZ187" s="908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172"/>
    </row>
    <row r="188" spans="2:63" ht="20.100000000000001" customHeight="1" x14ac:dyDescent="0.3">
      <c r="B188" s="199"/>
      <c r="C188" s="909" t="s">
        <v>96</v>
      </c>
      <c r="D188" s="910"/>
      <c r="E188" s="910"/>
      <c r="F188" s="910"/>
      <c r="G188" s="911"/>
      <c r="H188" s="912">
        <f>(H181*M181)+(H182*M182)+(H183*M183)+(H184*M184)+(H185*M185)+(H186*M186)+(H187*M187)</f>
        <v>0</v>
      </c>
      <c r="I188" s="912"/>
      <c r="J188" s="912"/>
      <c r="K188" s="912"/>
      <c r="L188" s="912"/>
      <c r="M188" s="913">
        <f>SUMIF(H181:L187,"&lt;&gt;"&amp;"",M181:Q187)</f>
        <v>0</v>
      </c>
      <c r="N188" s="914"/>
      <c r="O188" s="914"/>
      <c r="P188" s="914"/>
      <c r="Q188" s="915"/>
      <c r="R188" s="974"/>
      <c r="S188" s="975"/>
      <c r="T188" s="975"/>
      <c r="U188" s="975"/>
      <c r="V188" s="975"/>
      <c r="W188" s="976"/>
      <c r="X188" s="976"/>
      <c r="Y188" s="976"/>
      <c r="Z188" s="976"/>
      <c r="AA188" s="976"/>
      <c r="AB188" s="976"/>
      <c r="AC188" s="976"/>
      <c r="AD188" s="977"/>
      <c r="AE188" s="132"/>
      <c r="AF188" s="132"/>
      <c r="AG188" s="132"/>
      <c r="AH188" s="132"/>
      <c r="AI188" s="908"/>
      <c r="AJ188" s="908"/>
      <c r="AK188" s="908"/>
      <c r="AL188" s="908"/>
      <c r="AM188" s="908"/>
      <c r="AN188" s="908"/>
      <c r="AO188" s="908"/>
      <c r="AP188" s="908"/>
      <c r="AQ188" s="908"/>
      <c r="AR188" s="908"/>
      <c r="AS188" s="908"/>
      <c r="AT188" s="908"/>
      <c r="AU188" s="908"/>
      <c r="AV188" s="908"/>
      <c r="AW188" s="908"/>
      <c r="AX188" s="908"/>
      <c r="AY188" s="908"/>
      <c r="AZ188" s="908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172"/>
    </row>
    <row r="189" spans="2:63" ht="6.75" customHeight="1" x14ac:dyDescent="0.3">
      <c r="B189" s="199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172"/>
    </row>
    <row r="190" spans="2:63" s="136" customFormat="1" ht="30.9" customHeight="1" x14ac:dyDescent="0.3">
      <c r="B190" s="268"/>
      <c r="C190" s="1029" t="s">
        <v>117</v>
      </c>
      <c r="D190" s="1030"/>
      <c r="E190" s="1030"/>
      <c r="F190" s="1030"/>
      <c r="G190" s="1030"/>
      <c r="H190" s="1030"/>
      <c r="I190" s="1030"/>
      <c r="J190" s="1030"/>
      <c r="K190" s="1030"/>
      <c r="L190" s="1030"/>
      <c r="M190" s="1030"/>
      <c r="N190" s="1030"/>
      <c r="O190" s="1030"/>
      <c r="P190" s="1030"/>
      <c r="Q190" s="1030"/>
      <c r="R190" s="1030"/>
      <c r="S190" s="1030"/>
      <c r="T190" s="1030"/>
      <c r="U190" s="1030"/>
      <c r="V190" s="1030"/>
      <c r="W190" s="1030"/>
      <c r="X190" s="1030"/>
      <c r="Y190" s="1030"/>
      <c r="Z190" s="1030"/>
      <c r="AA190" s="1030"/>
      <c r="AB190" s="1030"/>
      <c r="AC190" s="1030"/>
      <c r="AD190" s="1030"/>
      <c r="AE190" s="1030"/>
      <c r="AF190" s="1030"/>
      <c r="AG190" s="1030"/>
      <c r="AH190" s="1030"/>
      <c r="AI190" s="1030"/>
      <c r="AJ190" s="1030"/>
      <c r="AK190" s="1030"/>
      <c r="AL190" s="1030"/>
      <c r="AM190" s="1030"/>
      <c r="AN190" s="1030"/>
      <c r="AO190" s="1030"/>
      <c r="AP190" s="1030"/>
      <c r="AQ190" s="1030"/>
      <c r="AR190" s="1030"/>
      <c r="AS190" s="1030"/>
      <c r="AT190" s="1030"/>
      <c r="AU190" s="1030"/>
      <c r="AV190" s="1030"/>
      <c r="AW190" s="1030"/>
      <c r="AX190" s="1030"/>
      <c r="AY190" s="1030"/>
      <c r="AZ190" s="1030"/>
      <c r="BA190" s="1030"/>
      <c r="BB190" s="1030"/>
      <c r="BC190" s="1030"/>
      <c r="BD190" s="1030"/>
      <c r="BE190" s="1030"/>
      <c r="BF190" s="1030"/>
      <c r="BG190" s="1030"/>
      <c r="BH190" s="1030"/>
      <c r="BI190" s="1030"/>
      <c r="BJ190" s="1030"/>
      <c r="BK190" s="269"/>
    </row>
    <row r="191" spans="2:63" s="136" customFormat="1" ht="39.75" customHeight="1" x14ac:dyDescent="0.3">
      <c r="B191" s="268"/>
      <c r="C191" s="1031" t="s">
        <v>99</v>
      </c>
      <c r="D191" s="1031"/>
      <c r="E191" s="1031"/>
      <c r="F191" s="1031"/>
      <c r="G191" s="1031"/>
      <c r="H191" s="1031"/>
      <c r="I191" s="1031"/>
      <c r="J191" s="1031"/>
      <c r="K191" s="1031"/>
      <c r="L191" s="1032" t="s">
        <v>118</v>
      </c>
      <c r="M191" s="1033"/>
      <c r="N191" s="1033"/>
      <c r="O191" s="1033"/>
      <c r="P191" s="1033"/>
      <c r="Q191" s="1034"/>
      <c r="R191" s="1032" t="s">
        <v>119</v>
      </c>
      <c r="S191" s="1033"/>
      <c r="T191" s="1033"/>
      <c r="U191" s="1033"/>
      <c r="V191" s="1034"/>
      <c r="W191" s="1031" t="s">
        <v>120</v>
      </c>
      <c r="X191" s="1031"/>
      <c r="Y191" s="1031"/>
      <c r="Z191" s="1031"/>
      <c r="AA191" s="1031"/>
      <c r="AB191" s="1031"/>
      <c r="AC191" s="1031" t="s">
        <v>121</v>
      </c>
      <c r="AD191" s="1031"/>
      <c r="AE191" s="1031"/>
      <c r="AF191" s="1031"/>
      <c r="AG191" s="1031"/>
      <c r="AH191" s="1031"/>
      <c r="AI191" s="1035" t="s">
        <v>122</v>
      </c>
      <c r="AJ191" s="1036"/>
      <c r="AK191" s="1036"/>
      <c r="AL191" s="1036"/>
      <c r="AM191" s="1037"/>
      <c r="AN191" s="1035" t="s">
        <v>123</v>
      </c>
      <c r="AO191" s="1036"/>
      <c r="AP191" s="1036"/>
      <c r="AQ191" s="1037"/>
      <c r="AR191" s="1035" t="s">
        <v>106</v>
      </c>
      <c r="AS191" s="1036"/>
      <c r="AT191" s="1036"/>
      <c r="AU191" s="1037"/>
      <c r="AV191" s="1032" t="s">
        <v>124</v>
      </c>
      <c r="AW191" s="1033"/>
      <c r="AX191" s="1033"/>
      <c r="AY191" s="1034"/>
      <c r="AZ191" s="1035" t="s">
        <v>125</v>
      </c>
      <c r="BA191" s="1036"/>
      <c r="BB191" s="1036"/>
      <c r="BC191" s="1037"/>
      <c r="BD191" s="1035" t="s">
        <v>111</v>
      </c>
      <c r="BE191" s="1036"/>
      <c r="BF191" s="1036"/>
      <c r="BG191" s="1036"/>
      <c r="BH191" s="1036"/>
      <c r="BI191" s="1036"/>
      <c r="BJ191" s="1036"/>
      <c r="BK191" s="269"/>
    </row>
    <row r="192" spans="2:63" ht="30" customHeight="1" x14ac:dyDescent="0.3">
      <c r="B192" s="199"/>
      <c r="C192" s="1048" t="s">
        <v>126</v>
      </c>
      <c r="D192" s="1048"/>
      <c r="E192" s="1048"/>
      <c r="F192" s="1048"/>
      <c r="G192" s="1048"/>
      <c r="H192" s="1048"/>
      <c r="I192" s="1048"/>
      <c r="J192" s="1048"/>
      <c r="K192" s="1048"/>
      <c r="L192" s="1049" t="s">
        <v>127</v>
      </c>
      <c r="M192" s="1050"/>
      <c r="N192" s="1050"/>
      <c r="O192" s="1050"/>
      <c r="P192" s="1050"/>
      <c r="Q192" s="1051"/>
      <c r="R192" s="1049" t="s">
        <v>128</v>
      </c>
      <c r="S192" s="1050"/>
      <c r="T192" s="1050"/>
      <c r="U192" s="1050"/>
      <c r="V192" s="1051"/>
      <c r="W192" s="1048" t="s">
        <v>129</v>
      </c>
      <c r="X192" s="1048"/>
      <c r="Y192" s="1048"/>
      <c r="Z192" s="1048"/>
      <c r="AA192" s="1048"/>
      <c r="AB192" s="1048"/>
      <c r="AC192" s="1048" t="s">
        <v>130</v>
      </c>
      <c r="AD192" s="1048"/>
      <c r="AE192" s="1048"/>
      <c r="AF192" s="1048"/>
      <c r="AG192" s="1048"/>
      <c r="AH192" s="1048"/>
      <c r="AI192" s="1052">
        <v>0.8</v>
      </c>
      <c r="AJ192" s="1053"/>
      <c r="AK192" s="1053"/>
      <c r="AL192" s="1053"/>
      <c r="AM192" s="1054"/>
      <c r="AN192" s="1052">
        <v>0.95</v>
      </c>
      <c r="AO192" s="1053"/>
      <c r="AP192" s="1053"/>
      <c r="AQ192" s="1054"/>
      <c r="AR192" s="1049" t="s">
        <v>131</v>
      </c>
      <c r="AS192" s="1050"/>
      <c r="AT192" s="1050"/>
      <c r="AU192" s="1051"/>
      <c r="AV192" s="1049" t="s">
        <v>132</v>
      </c>
      <c r="AW192" s="1050"/>
      <c r="AX192" s="1050"/>
      <c r="AY192" s="1051"/>
      <c r="AZ192" s="1049">
        <v>8</v>
      </c>
      <c r="BA192" s="1050"/>
      <c r="BB192" s="1050"/>
      <c r="BC192" s="1051"/>
      <c r="BD192" s="1055" t="s">
        <v>133</v>
      </c>
      <c r="BE192" s="1056"/>
      <c r="BF192" s="1056"/>
      <c r="BG192" s="1056"/>
      <c r="BH192" s="1056"/>
      <c r="BI192" s="1056"/>
      <c r="BJ192" s="1057"/>
      <c r="BK192" s="172"/>
    </row>
    <row r="193" spans="2:63" ht="30" customHeight="1" x14ac:dyDescent="0.3">
      <c r="B193" s="199"/>
      <c r="C193" s="1061"/>
      <c r="D193" s="1061"/>
      <c r="E193" s="1061"/>
      <c r="F193" s="1061"/>
      <c r="G193" s="1061"/>
      <c r="H193" s="1061"/>
      <c r="I193" s="1061"/>
      <c r="J193" s="1061"/>
      <c r="K193" s="1061"/>
      <c r="L193" s="1062"/>
      <c r="M193" s="1063"/>
      <c r="N193" s="1063"/>
      <c r="O193" s="1063"/>
      <c r="P193" s="1063"/>
      <c r="Q193" s="1064"/>
      <c r="R193" s="1065"/>
      <c r="S193" s="1066"/>
      <c r="T193" s="1066"/>
      <c r="U193" s="1066"/>
      <c r="V193" s="1067"/>
      <c r="W193" s="1061"/>
      <c r="X193" s="1061"/>
      <c r="Y193" s="1061"/>
      <c r="Z193" s="1061"/>
      <c r="AA193" s="1061"/>
      <c r="AB193" s="1061"/>
      <c r="AC193" s="1061"/>
      <c r="AD193" s="1061"/>
      <c r="AE193" s="1061"/>
      <c r="AF193" s="1061"/>
      <c r="AG193" s="1061"/>
      <c r="AH193" s="1061"/>
      <c r="AI193" s="1068"/>
      <c r="AJ193" s="1069"/>
      <c r="AK193" s="1069"/>
      <c r="AL193" s="1069"/>
      <c r="AM193" s="1070"/>
      <c r="AN193" s="1068"/>
      <c r="AO193" s="1069"/>
      <c r="AP193" s="1069"/>
      <c r="AQ193" s="1070"/>
      <c r="AR193" s="1065"/>
      <c r="AS193" s="1066"/>
      <c r="AT193" s="1066"/>
      <c r="AU193" s="1067"/>
      <c r="AV193" s="1065"/>
      <c r="AW193" s="1066"/>
      <c r="AX193" s="1066"/>
      <c r="AY193" s="1067"/>
      <c r="AZ193" s="1065"/>
      <c r="BA193" s="1066"/>
      <c r="BB193" s="1066"/>
      <c r="BC193" s="1067"/>
      <c r="BD193" s="1071"/>
      <c r="BE193" s="1072"/>
      <c r="BF193" s="1072"/>
      <c r="BG193" s="1072"/>
      <c r="BH193" s="1072"/>
      <c r="BI193" s="1072"/>
      <c r="BJ193" s="1073"/>
      <c r="BK193" s="172"/>
    </row>
    <row r="194" spans="2:63" ht="30" customHeight="1" x14ac:dyDescent="0.3">
      <c r="B194" s="199"/>
      <c r="C194" s="1061"/>
      <c r="D194" s="1061"/>
      <c r="E194" s="1061"/>
      <c r="F194" s="1061"/>
      <c r="G194" s="1061"/>
      <c r="H194" s="1061"/>
      <c r="I194" s="1061"/>
      <c r="J194" s="1061"/>
      <c r="K194" s="1061"/>
      <c r="L194" s="1062"/>
      <c r="M194" s="1063"/>
      <c r="N194" s="1063"/>
      <c r="O194" s="1063"/>
      <c r="P194" s="1063"/>
      <c r="Q194" s="1064"/>
      <c r="R194" s="1065"/>
      <c r="S194" s="1066"/>
      <c r="T194" s="1066"/>
      <c r="U194" s="1066"/>
      <c r="V194" s="1067"/>
      <c r="W194" s="1061"/>
      <c r="X194" s="1061"/>
      <c r="Y194" s="1061"/>
      <c r="Z194" s="1061"/>
      <c r="AA194" s="1061"/>
      <c r="AB194" s="1061"/>
      <c r="AC194" s="1061"/>
      <c r="AD194" s="1061"/>
      <c r="AE194" s="1061"/>
      <c r="AF194" s="1061"/>
      <c r="AG194" s="1061"/>
      <c r="AH194" s="1061"/>
      <c r="AI194" s="1068"/>
      <c r="AJ194" s="1069"/>
      <c r="AK194" s="1069"/>
      <c r="AL194" s="1069"/>
      <c r="AM194" s="1070"/>
      <c r="AN194" s="1068"/>
      <c r="AO194" s="1069"/>
      <c r="AP194" s="1069"/>
      <c r="AQ194" s="1070"/>
      <c r="AR194" s="1065"/>
      <c r="AS194" s="1066"/>
      <c r="AT194" s="1066"/>
      <c r="AU194" s="1067"/>
      <c r="AV194" s="1065"/>
      <c r="AW194" s="1066"/>
      <c r="AX194" s="1066"/>
      <c r="AY194" s="1067"/>
      <c r="AZ194" s="1065"/>
      <c r="BA194" s="1066"/>
      <c r="BB194" s="1066"/>
      <c r="BC194" s="1067"/>
      <c r="BD194" s="1071"/>
      <c r="BE194" s="1072"/>
      <c r="BF194" s="1072"/>
      <c r="BG194" s="1072"/>
      <c r="BH194" s="1072"/>
      <c r="BI194" s="1072"/>
      <c r="BJ194" s="1073"/>
      <c r="BK194" s="172"/>
    </row>
    <row r="195" spans="2:63" ht="30" customHeight="1" x14ac:dyDescent="0.3">
      <c r="B195" s="199"/>
      <c r="C195" s="1061"/>
      <c r="D195" s="1061"/>
      <c r="E195" s="1061"/>
      <c r="F195" s="1061"/>
      <c r="G195" s="1061"/>
      <c r="H195" s="1061"/>
      <c r="I195" s="1061"/>
      <c r="J195" s="1061"/>
      <c r="K195" s="1061"/>
      <c r="L195" s="1062"/>
      <c r="M195" s="1063"/>
      <c r="N195" s="1063"/>
      <c r="O195" s="1063"/>
      <c r="P195" s="1063"/>
      <c r="Q195" s="1064"/>
      <c r="R195" s="1065"/>
      <c r="S195" s="1066"/>
      <c r="T195" s="1066"/>
      <c r="U195" s="1066"/>
      <c r="V195" s="1067"/>
      <c r="W195" s="1061"/>
      <c r="X195" s="1061"/>
      <c r="Y195" s="1061"/>
      <c r="Z195" s="1061"/>
      <c r="AA195" s="1061"/>
      <c r="AB195" s="1061"/>
      <c r="AC195" s="1061"/>
      <c r="AD195" s="1061"/>
      <c r="AE195" s="1061"/>
      <c r="AF195" s="1061"/>
      <c r="AG195" s="1061"/>
      <c r="AH195" s="1061"/>
      <c r="AI195" s="1068"/>
      <c r="AJ195" s="1069"/>
      <c r="AK195" s="1069"/>
      <c r="AL195" s="1069"/>
      <c r="AM195" s="1070"/>
      <c r="AN195" s="1068"/>
      <c r="AO195" s="1069"/>
      <c r="AP195" s="1069"/>
      <c r="AQ195" s="1070"/>
      <c r="AR195" s="1065"/>
      <c r="AS195" s="1066"/>
      <c r="AT195" s="1066"/>
      <c r="AU195" s="1067"/>
      <c r="AV195" s="1065"/>
      <c r="AW195" s="1066"/>
      <c r="AX195" s="1066"/>
      <c r="AY195" s="1067"/>
      <c r="AZ195" s="1065"/>
      <c r="BA195" s="1066"/>
      <c r="BB195" s="1066"/>
      <c r="BC195" s="1067"/>
      <c r="BD195" s="1071"/>
      <c r="BE195" s="1072"/>
      <c r="BF195" s="1072"/>
      <c r="BG195" s="1072"/>
      <c r="BH195" s="1072"/>
      <c r="BI195" s="1072"/>
      <c r="BJ195" s="1073"/>
      <c r="BK195" s="172"/>
    </row>
    <row r="196" spans="2:63" ht="30" customHeight="1" x14ac:dyDescent="0.3">
      <c r="B196" s="199"/>
      <c r="C196" s="1061"/>
      <c r="D196" s="1061"/>
      <c r="E196" s="1061"/>
      <c r="F196" s="1061"/>
      <c r="G196" s="1061"/>
      <c r="H196" s="1061"/>
      <c r="I196" s="1061"/>
      <c r="J196" s="1061"/>
      <c r="K196" s="1061"/>
      <c r="L196" s="1062"/>
      <c r="M196" s="1063"/>
      <c r="N196" s="1063"/>
      <c r="O196" s="1063"/>
      <c r="P196" s="1063"/>
      <c r="Q196" s="1064"/>
      <c r="R196" s="1065"/>
      <c r="S196" s="1066"/>
      <c r="T196" s="1066"/>
      <c r="U196" s="1066"/>
      <c r="V196" s="1067"/>
      <c r="W196" s="1061"/>
      <c r="X196" s="1061"/>
      <c r="Y196" s="1061"/>
      <c r="Z196" s="1061"/>
      <c r="AA196" s="1061"/>
      <c r="AB196" s="1061"/>
      <c r="AC196" s="1061"/>
      <c r="AD196" s="1061"/>
      <c r="AE196" s="1061"/>
      <c r="AF196" s="1061"/>
      <c r="AG196" s="1061"/>
      <c r="AH196" s="1061"/>
      <c r="AI196" s="1068"/>
      <c r="AJ196" s="1069"/>
      <c r="AK196" s="1069"/>
      <c r="AL196" s="1069"/>
      <c r="AM196" s="1070"/>
      <c r="AN196" s="1068"/>
      <c r="AO196" s="1069"/>
      <c r="AP196" s="1069"/>
      <c r="AQ196" s="1070"/>
      <c r="AR196" s="1065"/>
      <c r="AS196" s="1066"/>
      <c r="AT196" s="1066"/>
      <c r="AU196" s="1067"/>
      <c r="AV196" s="1065"/>
      <c r="AW196" s="1066"/>
      <c r="AX196" s="1066"/>
      <c r="AY196" s="1067"/>
      <c r="AZ196" s="1065"/>
      <c r="BA196" s="1066"/>
      <c r="BB196" s="1066"/>
      <c r="BC196" s="1067"/>
      <c r="BD196" s="1071"/>
      <c r="BE196" s="1072"/>
      <c r="BF196" s="1072"/>
      <c r="BG196" s="1072"/>
      <c r="BH196" s="1072"/>
      <c r="BI196" s="1072"/>
      <c r="BJ196" s="1073"/>
      <c r="BK196" s="172"/>
    </row>
    <row r="197" spans="2:63" ht="30" customHeight="1" x14ac:dyDescent="0.3">
      <c r="B197" s="199"/>
      <c r="C197" s="1061"/>
      <c r="D197" s="1061"/>
      <c r="E197" s="1061"/>
      <c r="F197" s="1061"/>
      <c r="G197" s="1061"/>
      <c r="H197" s="1061"/>
      <c r="I197" s="1061"/>
      <c r="J197" s="1061"/>
      <c r="K197" s="1061"/>
      <c r="L197" s="1062"/>
      <c r="M197" s="1063"/>
      <c r="N197" s="1063"/>
      <c r="O197" s="1063"/>
      <c r="P197" s="1063"/>
      <c r="Q197" s="1064"/>
      <c r="R197" s="1065"/>
      <c r="S197" s="1066"/>
      <c r="T197" s="1066"/>
      <c r="U197" s="1066"/>
      <c r="V197" s="1067"/>
      <c r="W197" s="1061"/>
      <c r="X197" s="1061"/>
      <c r="Y197" s="1061"/>
      <c r="Z197" s="1061"/>
      <c r="AA197" s="1061"/>
      <c r="AB197" s="1061"/>
      <c r="AC197" s="1061"/>
      <c r="AD197" s="1061"/>
      <c r="AE197" s="1061"/>
      <c r="AF197" s="1061"/>
      <c r="AG197" s="1061"/>
      <c r="AH197" s="1061"/>
      <c r="AI197" s="1068"/>
      <c r="AJ197" s="1069"/>
      <c r="AK197" s="1069"/>
      <c r="AL197" s="1069"/>
      <c r="AM197" s="1070"/>
      <c r="AN197" s="1068"/>
      <c r="AO197" s="1069"/>
      <c r="AP197" s="1069"/>
      <c r="AQ197" s="1070"/>
      <c r="AR197" s="1065"/>
      <c r="AS197" s="1066"/>
      <c r="AT197" s="1066"/>
      <c r="AU197" s="1067"/>
      <c r="AV197" s="1065"/>
      <c r="AW197" s="1066"/>
      <c r="AX197" s="1066"/>
      <c r="AY197" s="1067"/>
      <c r="AZ197" s="1065"/>
      <c r="BA197" s="1066"/>
      <c r="BB197" s="1066"/>
      <c r="BC197" s="1067"/>
      <c r="BD197" s="1071"/>
      <c r="BE197" s="1072"/>
      <c r="BF197" s="1072"/>
      <c r="BG197" s="1072"/>
      <c r="BH197" s="1072"/>
      <c r="BI197" s="1072"/>
      <c r="BJ197" s="1073"/>
      <c r="BK197" s="172"/>
    </row>
    <row r="198" spans="2:63" ht="30" customHeight="1" x14ac:dyDescent="0.3">
      <c r="B198" s="199"/>
      <c r="C198" s="1061"/>
      <c r="D198" s="1061"/>
      <c r="E198" s="1061"/>
      <c r="F198" s="1061"/>
      <c r="G198" s="1061"/>
      <c r="H198" s="1061"/>
      <c r="I198" s="1061"/>
      <c r="J198" s="1061"/>
      <c r="K198" s="1061"/>
      <c r="L198" s="1062"/>
      <c r="M198" s="1063"/>
      <c r="N198" s="1063"/>
      <c r="O198" s="1063"/>
      <c r="P198" s="1063"/>
      <c r="Q198" s="1064"/>
      <c r="R198" s="1065"/>
      <c r="S198" s="1066"/>
      <c r="T198" s="1066"/>
      <c r="U198" s="1066"/>
      <c r="V198" s="1067"/>
      <c r="W198" s="1061"/>
      <c r="X198" s="1061"/>
      <c r="Y198" s="1061"/>
      <c r="Z198" s="1061"/>
      <c r="AA198" s="1061"/>
      <c r="AB198" s="1061"/>
      <c r="AC198" s="1061"/>
      <c r="AD198" s="1061"/>
      <c r="AE198" s="1061"/>
      <c r="AF198" s="1061"/>
      <c r="AG198" s="1061"/>
      <c r="AH198" s="1061"/>
      <c r="AI198" s="1068"/>
      <c r="AJ198" s="1069"/>
      <c r="AK198" s="1069"/>
      <c r="AL198" s="1069"/>
      <c r="AM198" s="1070"/>
      <c r="AN198" s="1068"/>
      <c r="AO198" s="1069"/>
      <c r="AP198" s="1069"/>
      <c r="AQ198" s="1070"/>
      <c r="AR198" s="1065"/>
      <c r="AS198" s="1066"/>
      <c r="AT198" s="1066"/>
      <c r="AU198" s="1067"/>
      <c r="AV198" s="1065"/>
      <c r="AW198" s="1066"/>
      <c r="AX198" s="1066"/>
      <c r="AY198" s="1067"/>
      <c r="AZ198" s="1065"/>
      <c r="BA198" s="1066"/>
      <c r="BB198" s="1066"/>
      <c r="BC198" s="1067"/>
      <c r="BD198" s="1071"/>
      <c r="BE198" s="1072"/>
      <c r="BF198" s="1072"/>
      <c r="BG198" s="1072"/>
      <c r="BH198" s="1072"/>
      <c r="BI198" s="1072"/>
      <c r="BJ198" s="1073"/>
      <c r="BK198" s="172"/>
    </row>
    <row r="199" spans="2:63" ht="30" customHeight="1" x14ac:dyDescent="0.3">
      <c r="B199" s="199"/>
      <c r="C199" s="1061"/>
      <c r="D199" s="1061"/>
      <c r="E199" s="1061"/>
      <c r="F199" s="1061"/>
      <c r="G199" s="1061"/>
      <c r="H199" s="1061"/>
      <c r="I199" s="1061"/>
      <c r="J199" s="1061"/>
      <c r="K199" s="1061"/>
      <c r="L199" s="1062"/>
      <c r="M199" s="1063"/>
      <c r="N199" s="1063"/>
      <c r="O199" s="1063"/>
      <c r="P199" s="1063"/>
      <c r="Q199" s="1064"/>
      <c r="R199" s="1065"/>
      <c r="S199" s="1066"/>
      <c r="T199" s="1066"/>
      <c r="U199" s="1066"/>
      <c r="V199" s="1067"/>
      <c r="W199" s="1061"/>
      <c r="X199" s="1061"/>
      <c r="Y199" s="1061"/>
      <c r="Z199" s="1061"/>
      <c r="AA199" s="1061"/>
      <c r="AB199" s="1061"/>
      <c r="AC199" s="1061"/>
      <c r="AD199" s="1061"/>
      <c r="AE199" s="1061"/>
      <c r="AF199" s="1061"/>
      <c r="AG199" s="1061"/>
      <c r="AH199" s="1061"/>
      <c r="AI199" s="1068"/>
      <c r="AJ199" s="1069"/>
      <c r="AK199" s="1069"/>
      <c r="AL199" s="1069"/>
      <c r="AM199" s="1070"/>
      <c r="AN199" s="1068"/>
      <c r="AO199" s="1069"/>
      <c r="AP199" s="1069"/>
      <c r="AQ199" s="1070"/>
      <c r="AR199" s="1065"/>
      <c r="AS199" s="1066"/>
      <c r="AT199" s="1066"/>
      <c r="AU199" s="1067"/>
      <c r="AV199" s="1065"/>
      <c r="AW199" s="1066"/>
      <c r="AX199" s="1066"/>
      <c r="AY199" s="1067"/>
      <c r="AZ199" s="1065"/>
      <c r="BA199" s="1066"/>
      <c r="BB199" s="1066"/>
      <c r="BC199" s="1067"/>
      <c r="BD199" s="1071"/>
      <c r="BE199" s="1072"/>
      <c r="BF199" s="1072"/>
      <c r="BG199" s="1072"/>
      <c r="BH199" s="1072"/>
      <c r="BI199" s="1072"/>
      <c r="BJ199" s="1073"/>
      <c r="BK199" s="172"/>
    </row>
    <row r="200" spans="2:63" ht="30" customHeight="1" x14ac:dyDescent="0.3">
      <c r="B200" s="199"/>
      <c r="C200" s="1061"/>
      <c r="D200" s="1061"/>
      <c r="E200" s="1061"/>
      <c r="F200" s="1061"/>
      <c r="G200" s="1061"/>
      <c r="H200" s="1061"/>
      <c r="I200" s="1061"/>
      <c r="J200" s="1061"/>
      <c r="K200" s="1061"/>
      <c r="L200" s="1062"/>
      <c r="M200" s="1063"/>
      <c r="N200" s="1063"/>
      <c r="O200" s="1063"/>
      <c r="P200" s="1063"/>
      <c r="Q200" s="1064"/>
      <c r="R200" s="1065"/>
      <c r="S200" s="1066"/>
      <c r="T200" s="1066"/>
      <c r="U200" s="1066"/>
      <c r="V200" s="1067"/>
      <c r="W200" s="1061"/>
      <c r="X200" s="1061"/>
      <c r="Y200" s="1061"/>
      <c r="Z200" s="1061"/>
      <c r="AA200" s="1061"/>
      <c r="AB200" s="1061"/>
      <c r="AC200" s="1061"/>
      <c r="AD200" s="1061"/>
      <c r="AE200" s="1061"/>
      <c r="AF200" s="1061"/>
      <c r="AG200" s="1061"/>
      <c r="AH200" s="1061"/>
      <c r="AI200" s="1068"/>
      <c r="AJ200" s="1069"/>
      <c r="AK200" s="1069"/>
      <c r="AL200" s="1069"/>
      <c r="AM200" s="1070"/>
      <c r="AN200" s="1068"/>
      <c r="AO200" s="1069"/>
      <c r="AP200" s="1069"/>
      <c r="AQ200" s="1070"/>
      <c r="AR200" s="1065"/>
      <c r="AS200" s="1066"/>
      <c r="AT200" s="1066"/>
      <c r="AU200" s="1067"/>
      <c r="AV200" s="1065"/>
      <c r="AW200" s="1066"/>
      <c r="AX200" s="1066"/>
      <c r="AY200" s="1067"/>
      <c r="AZ200" s="1065"/>
      <c r="BA200" s="1066"/>
      <c r="BB200" s="1066"/>
      <c r="BC200" s="1067"/>
      <c r="BD200" s="1071"/>
      <c r="BE200" s="1072"/>
      <c r="BF200" s="1072"/>
      <c r="BG200" s="1072"/>
      <c r="BH200" s="1072"/>
      <c r="BI200" s="1072"/>
      <c r="BJ200" s="1073"/>
      <c r="BK200" s="172"/>
    </row>
    <row r="201" spans="2:63" ht="30" customHeight="1" x14ac:dyDescent="0.3">
      <c r="B201" s="199"/>
      <c r="C201" s="1061"/>
      <c r="D201" s="1061"/>
      <c r="E201" s="1061"/>
      <c r="F201" s="1061"/>
      <c r="G201" s="1061"/>
      <c r="H201" s="1061"/>
      <c r="I201" s="1061"/>
      <c r="J201" s="1061"/>
      <c r="K201" s="1061"/>
      <c r="L201" s="1062"/>
      <c r="M201" s="1063"/>
      <c r="N201" s="1063"/>
      <c r="O201" s="1063"/>
      <c r="P201" s="1063"/>
      <c r="Q201" s="1064"/>
      <c r="R201" s="1065"/>
      <c r="S201" s="1066"/>
      <c r="T201" s="1066"/>
      <c r="U201" s="1066"/>
      <c r="V201" s="1067"/>
      <c r="W201" s="1061"/>
      <c r="X201" s="1061"/>
      <c r="Y201" s="1061"/>
      <c r="Z201" s="1061"/>
      <c r="AA201" s="1061"/>
      <c r="AB201" s="1061"/>
      <c r="AC201" s="1061"/>
      <c r="AD201" s="1061"/>
      <c r="AE201" s="1061"/>
      <c r="AF201" s="1061"/>
      <c r="AG201" s="1061"/>
      <c r="AH201" s="1061"/>
      <c r="AI201" s="1068"/>
      <c r="AJ201" s="1069"/>
      <c r="AK201" s="1069"/>
      <c r="AL201" s="1069"/>
      <c r="AM201" s="1070"/>
      <c r="AN201" s="1068"/>
      <c r="AO201" s="1069"/>
      <c r="AP201" s="1069"/>
      <c r="AQ201" s="1070"/>
      <c r="AR201" s="1065"/>
      <c r="AS201" s="1066"/>
      <c r="AT201" s="1066"/>
      <c r="AU201" s="1067"/>
      <c r="AV201" s="1065"/>
      <c r="AW201" s="1066"/>
      <c r="AX201" s="1066"/>
      <c r="AY201" s="1067"/>
      <c r="AZ201" s="1065"/>
      <c r="BA201" s="1066"/>
      <c r="BB201" s="1066"/>
      <c r="BC201" s="1067"/>
      <c r="BD201" s="1071"/>
      <c r="BE201" s="1072"/>
      <c r="BF201" s="1072"/>
      <c r="BG201" s="1072"/>
      <c r="BH201" s="1072"/>
      <c r="BI201" s="1072"/>
      <c r="BJ201" s="1073"/>
      <c r="BK201" s="172"/>
    </row>
    <row r="202" spans="2:63" ht="6.75" customHeight="1" x14ac:dyDescent="0.3">
      <c r="B202" s="199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172"/>
    </row>
    <row r="203" spans="2:63" ht="35.25" hidden="1" customHeight="1" x14ac:dyDescent="0.3">
      <c r="B203" s="199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172"/>
    </row>
    <row r="204" spans="2:63" ht="20.100000000000001" hidden="1" customHeight="1" x14ac:dyDescent="0.3">
      <c r="B204" s="199"/>
      <c r="C204" s="919" t="s">
        <v>134</v>
      </c>
      <c r="D204" s="920"/>
      <c r="E204" s="920"/>
      <c r="F204" s="920"/>
      <c r="G204" s="920"/>
      <c r="H204" s="920"/>
      <c r="I204" s="920"/>
      <c r="J204" s="920"/>
      <c r="K204" s="920"/>
      <c r="L204" s="920"/>
      <c r="M204" s="920"/>
      <c r="N204" s="920"/>
      <c r="O204" s="920"/>
      <c r="P204" s="920"/>
      <c r="Q204" s="921"/>
      <c r="R204" s="925" t="s">
        <v>135</v>
      </c>
      <c r="S204" s="926"/>
      <c r="T204" s="926"/>
      <c r="U204" s="926"/>
      <c r="V204" s="926"/>
      <c r="W204" s="926"/>
      <c r="X204" s="926"/>
      <c r="Y204" s="926"/>
      <c r="Z204" s="926"/>
      <c r="AA204" s="926"/>
      <c r="AB204" s="926"/>
      <c r="AC204" s="926"/>
      <c r="AD204" s="926"/>
      <c r="AE204" s="926"/>
      <c r="AF204" s="927"/>
      <c r="AG204" s="928">
        <f>H188</f>
        <v>0</v>
      </c>
      <c r="AH204" s="928"/>
      <c r="AI204" s="928"/>
      <c r="AJ204" s="928"/>
      <c r="AK204" s="928"/>
      <c r="AL204" s="929"/>
      <c r="AM204" s="930"/>
      <c r="AN204" s="930"/>
      <c r="AO204" s="930"/>
      <c r="AP204" s="930"/>
      <c r="AQ204" s="930"/>
      <c r="AR204" s="930"/>
      <c r="AS204" s="930"/>
      <c r="AT204" s="930"/>
      <c r="AU204" s="930"/>
      <c r="AV204" s="930"/>
      <c r="AW204" s="930"/>
      <c r="AX204" s="930"/>
      <c r="AY204" s="930"/>
      <c r="AZ204" s="930"/>
      <c r="BA204" s="930"/>
      <c r="BB204" s="930"/>
      <c r="BC204" s="930"/>
      <c r="BD204" s="930"/>
      <c r="BE204" s="930"/>
      <c r="BF204" s="930"/>
      <c r="BG204" s="930"/>
      <c r="BH204" s="930"/>
      <c r="BI204" s="930"/>
      <c r="BJ204" s="931"/>
      <c r="BK204" s="172"/>
    </row>
    <row r="205" spans="2:63" ht="20.100000000000001" hidden="1" customHeight="1" x14ac:dyDescent="0.3">
      <c r="B205" s="199"/>
      <c r="C205" s="922"/>
      <c r="D205" s="923"/>
      <c r="E205" s="923"/>
      <c r="F205" s="923"/>
      <c r="G205" s="923"/>
      <c r="H205" s="923"/>
      <c r="I205" s="923"/>
      <c r="J205" s="923"/>
      <c r="K205" s="923"/>
      <c r="L205" s="923"/>
      <c r="M205" s="923"/>
      <c r="N205" s="923"/>
      <c r="O205" s="923"/>
      <c r="P205" s="923"/>
      <c r="Q205" s="924"/>
      <c r="R205" s="925" t="s">
        <v>137</v>
      </c>
      <c r="S205" s="926"/>
      <c r="T205" s="926"/>
      <c r="U205" s="926"/>
      <c r="V205" s="926"/>
      <c r="W205" s="926"/>
      <c r="X205" s="926"/>
      <c r="Y205" s="926"/>
      <c r="Z205" s="926"/>
      <c r="AA205" s="926"/>
      <c r="AB205" s="926"/>
      <c r="AC205" s="926"/>
      <c r="AD205" s="926"/>
      <c r="AE205" s="926"/>
      <c r="AF205" s="927"/>
      <c r="AG205" s="929">
        <f>M188</f>
        <v>0</v>
      </c>
      <c r="AH205" s="930"/>
      <c r="AI205" s="930"/>
      <c r="AJ205" s="930"/>
      <c r="AK205" s="931"/>
      <c r="AL205" s="932"/>
      <c r="AM205" s="933"/>
      <c r="AN205" s="933"/>
      <c r="AO205" s="933"/>
      <c r="AP205" s="933"/>
      <c r="AQ205" s="933"/>
      <c r="AR205" s="933"/>
      <c r="AS205" s="933"/>
      <c r="AT205" s="933"/>
      <c r="AU205" s="933"/>
      <c r="AV205" s="933"/>
      <c r="AW205" s="933"/>
      <c r="AX205" s="933"/>
      <c r="AY205" s="933"/>
      <c r="AZ205" s="933"/>
      <c r="BA205" s="933"/>
      <c r="BB205" s="933"/>
      <c r="BC205" s="933"/>
      <c r="BD205" s="933"/>
      <c r="BE205" s="933"/>
      <c r="BF205" s="933"/>
      <c r="BG205" s="933"/>
      <c r="BH205" s="933"/>
      <c r="BI205" s="933"/>
      <c r="BJ205" s="1040"/>
      <c r="BK205" s="172"/>
    </row>
    <row r="206" spans="2:63" ht="21" hidden="1" customHeight="1" x14ac:dyDescent="0.3">
      <c r="B206" s="199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172"/>
    </row>
    <row r="207" spans="2:63" ht="0.9" hidden="1" customHeight="1" x14ac:dyDescent="0.3">
      <c r="B207" s="199"/>
      <c r="C207" s="919" t="s">
        <v>138</v>
      </c>
      <c r="D207" s="920"/>
      <c r="E207" s="920"/>
      <c r="F207" s="920"/>
      <c r="G207" s="920"/>
      <c r="H207" s="920"/>
      <c r="I207" s="920"/>
      <c r="J207" s="920"/>
      <c r="K207" s="920"/>
      <c r="L207" s="920"/>
      <c r="M207" s="920"/>
      <c r="N207" s="920"/>
      <c r="O207" s="920"/>
      <c r="P207" s="920"/>
      <c r="Q207" s="921"/>
      <c r="R207" s="998" t="s">
        <v>139</v>
      </c>
      <c r="S207" s="999"/>
      <c r="T207" s="999"/>
      <c r="U207" s="999"/>
      <c r="V207" s="999"/>
      <c r="W207" s="999"/>
      <c r="X207" s="999"/>
      <c r="Y207" s="999"/>
      <c r="Z207" s="999"/>
      <c r="AA207" s="999"/>
      <c r="AB207" s="999"/>
      <c r="AC207" s="999"/>
      <c r="AD207" s="1000"/>
      <c r="AE207" s="1015"/>
      <c r="AF207" s="1016"/>
      <c r="AG207" s="1016"/>
      <c r="AH207" s="1016"/>
      <c r="AI207" s="1017"/>
      <c r="AJ207" s="1004" t="s">
        <v>140</v>
      </c>
      <c r="AK207" s="1005"/>
      <c r="AL207" s="1005"/>
      <c r="AM207" s="1005"/>
      <c r="AN207" s="1006"/>
      <c r="AO207" s="1018"/>
      <c r="AP207" s="1019"/>
      <c r="AQ207" s="1019"/>
      <c r="AR207" s="1020"/>
      <c r="AS207" s="995" t="s">
        <v>141</v>
      </c>
      <c r="AT207" s="996"/>
      <c r="AU207" s="996"/>
      <c r="AV207" s="996"/>
      <c r="AW207" s="996"/>
      <c r="AX207" s="996"/>
      <c r="AY207" s="996"/>
      <c r="AZ207" s="996"/>
      <c r="BA207" s="996"/>
      <c r="BB207" s="996"/>
      <c r="BC207" s="996"/>
      <c r="BD207" s="996"/>
      <c r="BE207" s="996"/>
      <c r="BF207" s="996"/>
      <c r="BG207" s="997"/>
      <c r="BH207" s="982" t="s">
        <v>155</v>
      </c>
      <c r="BI207" s="983"/>
      <c r="BJ207" s="1038"/>
      <c r="BK207" s="172"/>
    </row>
    <row r="208" spans="2:63" ht="3.9" hidden="1" customHeight="1" x14ac:dyDescent="0.3">
      <c r="B208" s="199"/>
      <c r="C208" s="1012"/>
      <c r="D208" s="1013"/>
      <c r="E208" s="1013"/>
      <c r="F208" s="1013"/>
      <c r="G208" s="1013"/>
      <c r="H208" s="1013"/>
      <c r="I208" s="1013"/>
      <c r="J208" s="1013"/>
      <c r="K208" s="1013"/>
      <c r="L208" s="1013"/>
      <c r="M208" s="1013"/>
      <c r="N208" s="1013"/>
      <c r="O208" s="1013"/>
      <c r="P208" s="1013"/>
      <c r="Q208" s="1014"/>
      <c r="R208" s="998" t="s">
        <v>143</v>
      </c>
      <c r="S208" s="999"/>
      <c r="T208" s="999"/>
      <c r="U208" s="999"/>
      <c r="V208" s="999"/>
      <c r="W208" s="999"/>
      <c r="X208" s="999"/>
      <c r="Y208" s="999"/>
      <c r="Z208" s="999"/>
      <c r="AA208" s="999"/>
      <c r="AB208" s="999"/>
      <c r="AC208" s="999"/>
      <c r="AD208" s="1000"/>
      <c r="AE208" s="1001">
        <f>H188</f>
        <v>0</v>
      </c>
      <c r="AF208" s="1002"/>
      <c r="AG208" s="1002"/>
      <c r="AH208" s="1002"/>
      <c r="AI208" s="1003"/>
      <c r="AJ208" s="1004" t="s">
        <v>144</v>
      </c>
      <c r="AK208" s="1005"/>
      <c r="AL208" s="1005"/>
      <c r="AM208" s="1005"/>
      <c r="AN208" s="1006"/>
      <c r="AO208" s="1007">
        <f>M188</f>
        <v>0</v>
      </c>
      <c r="AP208" s="1008"/>
      <c r="AQ208" s="1008"/>
      <c r="AR208" s="1009"/>
      <c r="AS208" s="1010"/>
      <c r="AT208" s="1011"/>
      <c r="AU208" s="1011"/>
      <c r="AV208" s="1011"/>
      <c r="AW208" s="1011"/>
      <c r="AX208" s="1011"/>
      <c r="AY208" s="1011"/>
      <c r="AZ208" s="1011"/>
      <c r="BA208" s="1011"/>
      <c r="BB208" s="1011"/>
      <c r="BC208" s="1011"/>
      <c r="BD208" s="1011"/>
      <c r="BE208" s="1011"/>
      <c r="BF208" s="1011"/>
      <c r="BG208" s="1011"/>
      <c r="BH208" s="1011"/>
      <c r="BI208" s="1011"/>
      <c r="BJ208" s="1039"/>
      <c r="BK208" s="172"/>
    </row>
    <row r="209" spans="2:63" ht="3.6" hidden="1" customHeight="1" x14ac:dyDescent="0.3">
      <c r="B209" s="199"/>
      <c r="C209" s="922"/>
      <c r="D209" s="923"/>
      <c r="E209" s="923"/>
      <c r="F209" s="923"/>
      <c r="G209" s="923"/>
      <c r="H209" s="923"/>
      <c r="I209" s="923"/>
      <c r="J209" s="923"/>
      <c r="K209" s="923"/>
      <c r="L209" s="923"/>
      <c r="M209" s="923"/>
      <c r="N209" s="923"/>
      <c r="O209" s="923"/>
      <c r="P209" s="923"/>
      <c r="Q209" s="924"/>
      <c r="R209" s="998" t="s">
        <v>136</v>
      </c>
      <c r="S209" s="999"/>
      <c r="T209" s="999"/>
      <c r="U209" s="999"/>
      <c r="V209" s="999"/>
      <c r="W209" s="999"/>
      <c r="X209" s="999"/>
      <c r="Y209" s="999"/>
      <c r="Z209" s="999"/>
      <c r="AA209" s="999"/>
      <c r="AB209" s="999"/>
      <c r="AC209" s="999"/>
      <c r="AD209" s="999"/>
      <c r="AE209" s="999"/>
      <c r="AF209" s="999"/>
      <c r="AG209" s="999"/>
      <c r="AH209" s="999"/>
      <c r="AI209" s="999"/>
      <c r="AJ209" s="999"/>
      <c r="AK209" s="999"/>
      <c r="AL209" s="1000"/>
      <c r="AM209" s="929" t="str">
        <f>IF(BH207="Sim","De:",IF(OR(BH207="Não",BH207=""),"Atual:",""))</f>
        <v>Atual:</v>
      </c>
      <c r="AN209" s="930"/>
      <c r="AO209" s="931"/>
      <c r="AP209" s="1021" t="s">
        <v>808</v>
      </c>
      <c r="AQ209" s="1022"/>
      <c r="AR209" s="1022"/>
      <c r="AS209" s="1022"/>
      <c r="AT209" s="1022"/>
      <c r="AU209" s="1022"/>
      <c r="AV209" s="1022"/>
      <c r="AW209" s="1022"/>
      <c r="AX209" s="1023"/>
      <c r="AY209" s="979" t="str">
        <f>IF(BH207="Sim","Para:","")</f>
        <v/>
      </c>
      <c r="AZ209" s="980"/>
      <c r="BA209" s="981"/>
      <c r="BB209" s="982" t="s">
        <v>809</v>
      </c>
      <c r="BC209" s="983"/>
      <c r="BD209" s="983"/>
      <c r="BE209" s="983"/>
      <c r="BF209" s="983"/>
      <c r="BG209" s="983"/>
      <c r="BH209" s="983"/>
      <c r="BI209" s="983"/>
      <c r="BJ209" s="1038"/>
      <c r="BK209" s="172"/>
    </row>
    <row r="210" spans="2:63" ht="14.4" hidden="1" customHeight="1" x14ac:dyDescent="0.3">
      <c r="B210" s="199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172"/>
    </row>
    <row r="211" spans="2:63" ht="20.100000000000001" customHeight="1" x14ac:dyDescent="0.3">
      <c r="B211" s="199"/>
      <c r="C211" s="989" t="s">
        <v>145</v>
      </c>
      <c r="D211" s="990"/>
      <c r="E211" s="990"/>
      <c r="F211" s="990"/>
      <c r="G211" s="990"/>
      <c r="H211" s="990"/>
      <c r="I211" s="990"/>
      <c r="J211" s="990"/>
      <c r="K211" s="990"/>
      <c r="L211" s="990"/>
      <c r="M211" s="990"/>
      <c r="N211" s="990"/>
      <c r="O211" s="990"/>
      <c r="P211" s="990"/>
      <c r="Q211" s="990"/>
      <c r="R211" s="990"/>
      <c r="S211" s="990"/>
      <c r="T211" s="990"/>
      <c r="U211" s="990"/>
      <c r="V211" s="990"/>
      <c r="W211" s="990"/>
      <c r="X211" s="990"/>
      <c r="Y211" s="990"/>
      <c r="Z211" s="990"/>
      <c r="AA211" s="990"/>
      <c r="AB211" s="990"/>
      <c r="AC211" s="990"/>
      <c r="AD211" s="991"/>
      <c r="AE211" s="992"/>
      <c r="AF211" s="993"/>
      <c r="AG211" s="994"/>
      <c r="AH211" s="138"/>
      <c r="AI211" s="775"/>
      <c r="AJ211" s="775"/>
      <c r="AK211" s="775"/>
      <c r="AL211" s="775"/>
      <c r="AM211" s="775"/>
      <c r="AN211" s="775"/>
      <c r="AO211" s="775"/>
      <c r="AP211" s="775"/>
      <c r="AQ211" s="775"/>
      <c r="AR211" s="775"/>
      <c r="AS211" s="775"/>
      <c r="AT211" s="775"/>
      <c r="AU211" s="775"/>
      <c r="AV211" s="775"/>
      <c r="AW211" s="775"/>
      <c r="AX211" s="775"/>
      <c r="AY211" s="775"/>
      <c r="AZ211" s="775"/>
      <c r="BA211" s="775"/>
      <c r="BB211" s="775"/>
      <c r="BC211" s="775"/>
      <c r="BD211" s="775"/>
      <c r="BE211" s="775"/>
      <c r="BF211" s="775"/>
      <c r="BG211" s="775"/>
      <c r="BH211" s="775"/>
      <c r="BI211" s="775"/>
      <c r="BJ211" s="775"/>
      <c r="BK211" s="172"/>
    </row>
    <row r="212" spans="2:63" ht="3.9" customHeight="1" x14ac:dyDescent="0.3">
      <c r="B212" s="199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172"/>
    </row>
    <row r="213" spans="2:63" ht="15.6" x14ac:dyDescent="0.3">
      <c r="B213" s="199"/>
      <c r="C213" s="1026" t="str">
        <f>IF(AND(AE211="Sim",OR(AG204&gt;112.5,AE208&gt;112.5,AE207&gt;112.5)),"Conforme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213" s="1027"/>
      <c r="E213" s="1027"/>
      <c r="F213" s="1027"/>
      <c r="G213" s="1027"/>
      <c r="H213" s="1027"/>
      <c r="I213" s="1027"/>
      <c r="J213" s="1027"/>
      <c r="K213" s="1027"/>
      <c r="L213" s="1027"/>
      <c r="M213" s="1027"/>
      <c r="N213" s="1027"/>
      <c r="O213" s="1027"/>
      <c r="P213" s="1027"/>
      <c r="Q213" s="1027"/>
      <c r="R213" s="1027"/>
      <c r="S213" s="1027"/>
      <c r="T213" s="1027"/>
      <c r="U213" s="1027"/>
      <c r="V213" s="1027"/>
      <c r="W213" s="1027"/>
      <c r="X213" s="1027"/>
      <c r="Y213" s="1027"/>
      <c r="Z213" s="1027"/>
      <c r="AA213" s="1027"/>
      <c r="AB213" s="1027"/>
      <c r="AC213" s="1027"/>
      <c r="AD213" s="1027"/>
      <c r="AE213" s="1027"/>
      <c r="AF213" s="1027"/>
      <c r="AG213" s="1027"/>
      <c r="AH213" s="1027"/>
      <c r="AI213" s="1027"/>
      <c r="AJ213" s="1027"/>
      <c r="AK213" s="1027"/>
      <c r="AL213" s="1027"/>
      <c r="AM213" s="1027"/>
      <c r="AN213" s="1027"/>
      <c r="AO213" s="1027"/>
      <c r="AP213" s="1027"/>
      <c r="AQ213" s="1027"/>
      <c r="AR213" s="1027"/>
      <c r="AS213" s="1027"/>
      <c r="AT213" s="1027"/>
      <c r="AU213" s="1027"/>
      <c r="AV213" s="1027"/>
      <c r="AW213" s="1027"/>
      <c r="AX213" s="1027"/>
      <c r="AY213" s="1027"/>
      <c r="AZ213" s="1027"/>
      <c r="BA213" s="1027"/>
      <c r="BB213" s="1027"/>
      <c r="BC213" s="1027"/>
      <c r="BD213" s="1027"/>
      <c r="BE213" s="1027"/>
      <c r="BF213" s="1027"/>
      <c r="BG213" s="1027"/>
      <c r="BH213" s="1027"/>
      <c r="BI213" s="1027"/>
      <c r="BJ213" s="1041"/>
      <c r="BK213" s="172"/>
    </row>
    <row r="214" spans="2:63" ht="3.9" customHeight="1" x14ac:dyDescent="0.3">
      <c r="B214" s="199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172"/>
    </row>
    <row r="215" spans="2:63" ht="20.100000000000001" customHeight="1" x14ac:dyDescent="0.3">
      <c r="B215" s="199"/>
      <c r="C215" s="1028" t="s">
        <v>146</v>
      </c>
      <c r="D215" s="1028"/>
      <c r="E215" s="1028"/>
      <c r="F215" s="1028"/>
      <c r="G215" s="1028"/>
      <c r="H215" s="1028"/>
      <c r="I215" s="1028"/>
      <c r="J215" s="1028"/>
      <c r="K215" s="1028"/>
      <c r="L215" s="1028"/>
      <c r="M215" s="1028"/>
      <c r="N215" s="1028"/>
      <c r="O215" s="1028"/>
      <c r="P215" s="1028"/>
      <c r="Q215" s="1028"/>
      <c r="R215" s="1028"/>
      <c r="S215" s="1028"/>
      <c r="T215" s="1028"/>
      <c r="U215" s="1028"/>
      <c r="V215" s="1028"/>
      <c r="W215" s="1028"/>
      <c r="X215" s="1028"/>
      <c r="Y215" s="1028"/>
      <c r="Z215" s="1028"/>
      <c r="AA215" s="986"/>
      <c r="AB215" s="986"/>
      <c r="AC215" s="986"/>
      <c r="AD215" s="986"/>
      <c r="AE215" s="986"/>
      <c r="AF215" s="979" t="s">
        <v>147</v>
      </c>
      <c r="AG215" s="980"/>
      <c r="AH215" s="980"/>
      <c r="AI215" s="980"/>
      <c r="AJ215" s="980"/>
      <c r="AK215" s="980"/>
      <c r="AL215" s="980"/>
      <c r="AM215" s="980"/>
      <c r="AN215" s="980"/>
      <c r="AO215" s="980"/>
      <c r="AP215" s="980"/>
      <c r="AQ215" s="981"/>
      <c r="AR215" s="986"/>
      <c r="AS215" s="986"/>
      <c r="AT215" s="986"/>
      <c r="AU215" s="1042"/>
      <c r="AV215" s="1043"/>
      <c r="AW215" s="1043"/>
      <c r="AX215" s="1043"/>
      <c r="AY215" s="1043"/>
      <c r="AZ215" s="1043"/>
      <c r="BA215" s="1043"/>
      <c r="BB215" s="1043"/>
      <c r="BC215" s="1043"/>
      <c r="BD215" s="1043"/>
      <c r="BE215" s="1043"/>
      <c r="BF215" s="1043"/>
      <c r="BG215" s="1043"/>
      <c r="BH215" s="1043"/>
      <c r="BI215" s="1043"/>
      <c r="BJ215" s="1044"/>
      <c r="BK215" s="172"/>
    </row>
    <row r="216" spans="2:63" ht="3.9" customHeight="1" x14ac:dyDescent="0.3">
      <c r="B216" s="199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172"/>
    </row>
    <row r="217" spans="2:63" ht="20.100000000000001" customHeight="1" x14ac:dyDescent="0.3">
      <c r="B217" s="199"/>
      <c r="C217" s="944" t="s">
        <v>148</v>
      </c>
      <c r="D217" s="945"/>
      <c r="E217" s="945"/>
      <c r="F217" s="945"/>
      <c r="G217" s="945"/>
      <c r="H217" s="945"/>
      <c r="I217" s="945"/>
      <c r="J217" s="945"/>
      <c r="K217" s="945"/>
      <c r="L217" s="945"/>
      <c r="M217" s="945"/>
      <c r="N217" s="945"/>
      <c r="O217" s="945"/>
      <c r="P217" s="946"/>
      <c r="Q217" s="259"/>
      <c r="R217" s="925" t="str">
        <f>IF(AA215="Verde","Demanda em kw*:","Demanda Ponta:*")</f>
        <v>Demanda Ponta:*</v>
      </c>
      <c r="S217" s="926"/>
      <c r="T217" s="926"/>
      <c r="U217" s="926"/>
      <c r="V217" s="926"/>
      <c r="W217" s="926"/>
      <c r="X217" s="926"/>
      <c r="Y217" s="926"/>
      <c r="Z217" s="926"/>
      <c r="AA217" s="926"/>
      <c r="AB217" s="926"/>
      <c r="AC217" s="926"/>
      <c r="AD217" s="927"/>
      <c r="AE217" s="36"/>
      <c r="AF217" s="934"/>
      <c r="AG217" s="934"/>
      <c r="AH217" s="934"/>
      <c r="AI217" s="934"/>
      <c r="AJ217" s="36"/>
      <c r="AK217" s="935"/>
      <c r="AL217" s="935"/>
      <c r="AM217" s="935"/>
      <c r="AN217" s="935"/>
      <c r="AO217" s="935"/>
      <c r="AP217" s="935"/>
      <c r="AQ217" s="935"/>
      <c r="AR217" s="935"/>
      <c r="AS217" s="141"/>
      <c r="AT217" s="936"/>
      <c r="AU217" s="936"/>
      <c r="AV217" s="936"/>
      <c r="AW217" s="936"/>
      <c r="AX217" s="36"/>
      <c r="AY217" s="1060"/>
      <c r="AZ217" s="1060"/>
      <c r="BA217" s="1060"/>
      <c r="BB217" s="1060"/>
      <c r="BC217" s="1060"/>
      <c r="BD217" s="1060"/>
      <c r="BE217" s="1060"/>
      <c r="BF217" s="1060"/>
      <c r="BG217" s="1060"/>
      <c r="BH217" s="1060"/>
      <c r="BI217" s="1060"/>
      <c r="BJ217" s="1060"/>
      <c r="BK217" s="172"/>
    </row>
    <row r="218" spans="2:63" ht="15.6" x14ac:dyDescent="0.3">
      <c r="B218" s="199"/>
      <c r="C218" s="947"/>
      <c r="D218" s="948"/>
      <c r="E218" s="948"/>
      <c r="F218" s="948"/>
      <c r="G218" s="948"/>
      <c r="H218" s="948"/>
      <c r="I218" s="948"/>
      <c r="J218" s="948"/>
      <c r="K218" s="948"/>
      <c r="L218" s="948"/>
      <c r="M218" s="948"/>
      <c r="N218" s="948"/>
      <c r="O218" s="948"/>
      <c r="P218" s="949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140"/>
      <c r="AY218" s="1060"/>
      <c r="AZ218" s="1060"/>
      <c r="BA218" s="1060"/>
      <c r="BB218" s="1060"/>
      <c r="BC218" s="1060"/>
      <c r="BD218" s="1060"/>
      <c r="BE218" s="1060"/>
      <c r="BF218" s="1060"/>
      <c r="BG218" s="1060"/>
      <c r="BH218" s="1060"/>
      <c r="BI218" s="1060"/>
      <c r="BJ218" s="1060"/>
      <c r="BK218" s="172"/>
    </row>
    <row r="219" spans="2:63" ht="20.100000000000001" customHeight="1" x14ac:dyDescent="0.3">
      <c r="B219" s="199"/>
      <c r="C219" s="950"/>
      <c r="D219" s="951"/>
      <c r="E219" s="951"/>
      <c r="F219" s="951"/>
      <c r="G219" s="951"/>
      <c r="H219" s="951"/>
      <c r="I219" s="951"/>
      <c r="J219" s="951"/>
      <c r="K219" s="951"/>
      <c r="L219" s="951"/>
      <c r="M219" s="951"/>
      <c r="N219" s="951"/>
      <c r="O219" s="951"/>
      <c r="P219" s="952"/>
      <c r="Q219" s="138"/>
      <c r="R219" s="938" t="str">
        <f>IF(AA215="Verde","","Demanda Fora Ponta:*")</f>
        <v>Demanda Fora Ponta:*</v>
      </c>
      <c r="S219" s="939"/>
      <c r="T219" s="939"/>
      <c r="U219" s="939"/>
      <c r="V219" s="939"/>
      <c r="W219" s="939"/>
      <c r="X219" s="939"/>
      <c r="Y219" s="939"/>
      <c r="Z219" s="939"/>
      <c r="AA219" s="939"/>
      <c r="AB219" s="939"/>
      <c r="AC219" s="939"/>
      <c r="AD219" s="940"/>
      <c r="AE219" s="36"/>
      <c r="AF219" s="941"/>
      <c r="AG219" s="942"/>
      <c r="AH219" s="942"/>
      <c r="AI219" s="943"/>
      <c r="AJ219" s="36"/>
      <c r="AK219" s="935"/>
      <c r="AL219" s="935"/>
      <c r="AM219" s="935"/>
      <c r="AN219" s="935"/>
      <c r="AO219" s="935"/>
      <c r="AP219" s="935"/>
      <c r="AQ219" s="935"/>
      <c r="AR219" s="935"/>
      <c r="AS219" s="141"/>
      <c r="AT219" s="936"/>
      <c r="AU219" s="936"/>
      <c r="AV219" s="936"/>
      <c r="AW219" s="936"/>
      <c r="AX219" s="140"/>
      <c r="AY219" s="1060"/>
      <c r="AZ219" s="1060"/>
      <c r="BA219" s="1060"/>
      <c r="BB219" s="1060"/>
      <c r="BC219" s="1060"/>
      <c r="BD219" s="1060"/>
      <c r="BE219" s="1060"/>
      <c r="BF219" s="1060"/>
      <c r="BG219" s="1060"/>
      <c r="BH219" s="1060"/>
      <c r="BI219" s="1060"/>
      <c r="BJ219" s="1060"/>
      <c r="BK219" s="172"/>
    </row>
    <row r="220" spans="2:63" ht="3.9" customHeight="1" x14ac:dyDescent="0.3">
      <c r="B220" s="199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172"/>
    </row>
    <row r="221" spans="2:63" x14ac:dyDescent="0.3">
      <c r="B221" s="199"/>
      <c r="C221" s="1025" t="s">
        <v>149</v>
      </c>
      <c r="D221" s="988"/>
      <c r="E221" s="988"/>
      <c r="F221" s="988"/>
      <c r="G221" s="988"/>
      <c r="H221" s="988"/>
      <c r="I221" s="988"/>
      <c r="J221" s="988"/>
      <c r="K221" s="988"/>
      <c r="L221" s="988"/>
      <c r="M221" s="988"/>
      <c r="N221" s="988"/>
      <c r="O221" s="988"/>
      <c r="P221" s="988"/>
      <c r="Q221" s="988"/>
      <c r="R221" s="988"/>
      <c r="S221" s="988"/>
      <c r="T221" s="988"/>
      <c r="U221" s="988"/>
      <c r="V221" s="988"/>
      <c r="W221" s="988"/>
      <c r="X221" s="988"/>
      <c r="Y221" s="988"/>
      <c r="Z221" s="988"/>
      <c r="AA221" s="988"/>
      <c r="AB221" s="988"/>
      <c r="AC221" s="988"/>
      <c r="AD221" s="988"/>
      <c r="AE221" s="988"/>
      <c r="AF221" s="988"/>
      <c r="AG221" s="988"/>
      <c r="AH221" s="988"/>
      <c r="AI221" s="988"/>
      <c r="AJ221" s="988"/>
      <c r="AK221" s="988"/>
      <c r="AL221" s="988"/>
      <c r="AM221" s="988"/>
      <c r="AN221" s="988"/>
      <c r="AO221" s="988"/>
      <c r="AP221" s="988"/>
      <c r="AQ221" s="988"/>
      <c r="AR221" s="988"/>
      <c r="AS221" s="988"/>
      <c r="AT221" s="988"/>
      <c r="AU221" s="988"/>
      <c r="AV221" s="988"/>
      <c r="AW221" s="988"/>
      <c r="AX221" s="988"/>
      <c r="AY221" s="988"/>
      <c r="AZ221" s="988"/>
      <c r="BA221" s="988"/>
      <c r="BB221" s="988"/>
      <c r="BC221" s="988"/>
      <c r="BD221" s="988"/>
      <c r="BE221" s="988"/>
      <c r="BF221" s="988"/>
      <c r="BG221" s="988"/>
      <c r="BH221" s="988"/>
      <c r="BI221" s="988"/>
      <c r="BJ221" s="1045"/>
      <c r="BK221" s="172"/>
    </row>
    <row r="222" spans="2:63" ht="20.100000000000001" customHeight="1" x14ac:dyDescent="0.3">
      <c r="B222" s="199"/>
      <c r="C222" s="917" t="str" cm="1">
        <f t="array" ref="C222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222" s="917"/>
      <c r="E222" s="917"/>
      <c r="F222" s="917"/>
      <c r="G222" s="917"/>
      <c r="H222" s="917"/>
      <c r="I222" s="917"/>
      <c r="J222" s="917"/>
      <c r="K222" s="917"/>
      <c r="L222" s="917"/>
      <c r="M222" s="917"/>
      <c r="N222" s="917"/>
      <c r="O222" s="917"/>
      <c r="P222" s="917"/>
      <c r="Q222" s="972"/>
      <c r="R222" s="917" t="str">
        <f>IF(AND(AR215="Sim",AA215="Azul"),"Demanda ponta?:","")</f>
        <v/>
      </c>
      <c r="S222" s="917"/>
      <c r="T222" s="917"/>
      <c r="U222" s="917"/>
      <c r="V222" s="917"/>
      <c r="W222" s="917"/>
      <c r="X222" s="917"/>
      <c r="Y222" s="918"/>
      <c r="Z222" s="918"/>
      <c r="AA222" s="918"/>
      <c r="AB222" s="918"/>
      <c r="AC222" s="918"/>
      <c r="AD222" s="918"/>
      <c r="AE222" s="918"/>
      <c r="AF222" s="953" t="str">
        <f>IF(AND(AR215="Sim",AA215="Azul"),"Demanda fora de ponta?:","")</f>
        <v/>
      </c>
      <c r="AG222" s="954"/>
      <c r="AH222" s="954"/>
      <c r="AI222" s="954"/>
      <c r="AJ222" s="954"/>
      <c r="AK222" s="954"/>
      <c r="AL222" s="954"/>
      <c r="AM222" s="954"/>
      <c r="AN222" s="954"/>
      <c r="AO222" s="955"/>
      <c r="AP222" s="956"/>
      <c r="AQ222" s="957"/>
      <c r="AR222" s="957"/>
      <c r="AS222" s="957"/>
      <c r="AT222" s="957"/>
      <c r="AU222" s="957"/>
      <c r="AV222" s="958"/>
      <c r="AW222" s="959" t="str">
        <f>IF(AR215="Sim","Início de Uso:*","")</f>
        <v/>
      </c>
      <c r="AX222" s="959"/>
      <c r="AY222" s="959"/>
      <c r="AZ222" s="959"/>
      <c r="BA222" s="959"/>
      <c r="BB222" s="959"/>
      <c r="BC222" s="960"/>
      <c r="BD222" s="960"/>
      <c r="BE222" s="960"/>
      <c r="BF222" s="960"/>
      <c r="BG222" s="960"/>
      <c r="BH222" s="960"/>
      <c r="BI222" s="960"/>
      <c r="BJ222" s="960"/>
      <c r="BK222" s="172"/>
    </row>
    <row r="223" spans="2:63" ht="20.100000000000001" customHeight="1" x14ac:dyDescent="0.3">
      <c r="B223" s="199"/>
      <c r="C223" s="917" t="str" cm="1">
        <f t="array" ref="C223">_xlfn.IFS(AND('Formulário MT'!$AD$34&lt;&gt;"Conexão Nova",AR215="Sim"),"Demanda contratada futura KW:**",AND('Formulário MT'!$AD$34="Conexão Nova",AR215="Sim"),"Demanda contratada KW:*",TRUE,"demanda escalonada")</f>
        <v>demanda escalonada</v>
      </c>
      <c r="D223" s="917"/>
      <c r="E223" s="917"/>
      <c r="F223" s="917"/>
      <c r="G223" s="917"/>
      <c r="H223" s="917"/>
      <c r="I223" s="917"/>
      <c r="J223" s="917"/>
      <c r="K223" s="917"/>
      <c r="L223" s="917"/>
      <c r="M223" s="917"/>
      <c r="N223" s="917"/>
      <c r="O223" s="917"/>
      <c r="P223" s="917"/>
      <c r="Q223" s="972"/>
      <c r="R223" s="917" t="str">
        <f>IF(AND(AR215="Sim",AA215="Azul"),"Demanda ponta?:","")</f>
        <v/>
      </c>
      <c r="S223" s="917"/>
      <c r="T223" s="917"/>
      <c r="U223" s="917"/>
      <c r="V223" s="917"/>
      <c r="W223" s="917"/>
      <c r="X223" s="917"/>
      <c r="Y223" s="918"/>
      <c r="Z223" s="918"/>
      <c r="AA223" s="918"/>
      <c r="AB223" s="918"/>
      <c r="AC223" s="918"/>
      <c r="AD223" s="918"/>
      <c r="AE223" s="918"/>
      <c r="AF223" s="953" t="str">
        <f>IF(AND(AR215="Sim",AA215="Azul"),"Demanda fora de ponta?:","")</f>
        <v/>
      </c>
      <c r="AG223" s="954"/>
      <c r="AH223" s="954"/>
      <c r="AI223" s="954"/>
      <c r="AJ223" s="954"/>
      <c r="AK223" s="954"/>
      <c r="AL223" s="954"/>
      <c r="AM223" s="954"/>
      <c r="AN223" s="954"/>
      <c r="AO223" s="955"/>
      <c r="AP223" s="956"/>
      <c r="AQ223" s="957"/>
      <c r="AR223" s="957"/>
      <c r="AS223" s="957"/>
      <c r="AT223" s="957"/>
      <c r="AU223" s="957"/>
      <c r="AV223" s="958"/>
      <c r="AW223" s="959" t="str">
        <f>IF(AR215="Sim","Início de Uso:*","")</f>
        <v/>
      </c>
      <c r="AX223" s="959"/>
      <c r="AY223" s="959"/>
      <c r="AZ223" s="959"/>
      <c r="BA223" s="959"/>
      <c r="BB223" s="959"/>
      <c r="BC223" s="960"/>
      <c r="BD223" s="960"/>
      <c r="BE223" s="960"/>
      <c r="BF223" s="960"/>
      <c r="BG223" s="960"/>
      <c r="BH223" s="960"/>
      <c r="BI223" s="960"/>
      <c r="BJ223" s="960"/>
      <c r="BK223" s="172"/>
    </row>
    <row r="224" spans="2:63" ht="20.100000000000001" customHeight="1" x14ac:dyDescent="0.3">
      <c r="B224" s="199"/>
      <c r="C224" s="917" t="str" cm="1">
        <f t="array" ref="C224">_xlfn.IFS(AND('Formulário MT'!$AD$34&lt;&gt;"Conexão Nova",AR215="Sim"),"Demanda contratada futura KW:**",AND('Formulário MT'!$AD$34="Conexão Nova",AR215="Sim"),"Demanda contratada KW:*",TRUE,"")</f>
        <v/>
      </c>
      <c r="D224" s="917"/>
      <c r="E224" s="917"/>
      <c r="F224" s="917"/>
      <c r="G224" s="917"/>
      <c r="H224" s="917"/>
      <c r="I224" s="917"/>
      <c r="J224" s="917"/>
      <c r="K224" s="917"/>
      <c r="L224" s="917"/>
      <c r="M224" s="917"/>
      <c r="N224" s="917"/>
      <c r="O224" s="917"/>
      <c r="P224" s="917"/>
      <c r="Q224" s="972"/>
      <c r="R224" s="917" t="str">
        <f>IF(AND(AR215="Sim",AA215="Azul"),"Demanda ponta?:","")</f>
        <v/>
      </c>
      <c r="S224" s="917"/>
      <c r="T224" s="917"/>
      <c r="U224" s="917"/>
      <c r="V224" s="917"/>
      <c r="W224" s="917"/>
      <c r="X224" s="917"/>
      <c r="Y224" s="918"/>
      <c r="Z224" s="918"/>
      <c r="AA224" s="918"/>
      <c r="AB224" s="918"/>
      <c r="AC224" s="918"/>
      <c r="AD224" s="918"/>
      <c r="AE224" s="918"/>
      <c r="AF224" s="953" t="str">
        <f>IF(AND(AR215="Sim",AA215="Azul"),"Demanda fora de ponta?:","")</f>
        <v/>
      </c>
      <c r="AG224" s="954"/>
      <c r="AH224" s="954"/>
      <c r="AI224" s="954"/>
      <c r="AJ224" s="954"/>
      <c r="AK224" s="954"/>
      <c r="AL224" s="954"/>
      <c r="AM224" s="954"/>
      <c r="AN224" s="954"/>
      <c r="AO224" s="955"/>
      <c r="AP224" s="956"/>
      <c r="AQ224" s="957"/>
      <c r="AR224" s="957"/>
      <c r="AS224" s="957"/>
      <c r="AT224" s="957"/>
      <c r="AU224" s="957"/>
      <c r="AV224" s="958"/>
      <c r="AW224" s="959" t="str">
        <f>IF(AR215="Sim","Início de Uso:*","")</f>
        <v/>
      </c>
      <c r="AX224" s="959"/>
      <c r="AY224" s="959"/>
      <c r="AZ224" s="959"/>
      <c r="BA224" s="959"/>
      <c r="BB224" s="959"/>
      <c r="BC224" s="960"/>
      <c r="BD224" s="960"/>
      <c r="BE224" s="960"/>
      <c r="BF224" s="960"/>
      <c r="BG224" s="960"/>
      <c r="BH224" s="960"/>
      <c r="BI224" s="960"/>
      <c r="BJ224" s="960"/>
      <c r="BK224" s="172"/>
    </row>
    <row r="225" spans="2:63" ht="20.100000000000001" customHeight="1" x14ac:dyDescent="0.3">
      <c r="B225" s="199"/>
      <c r="C225" s="917" t="str" cm="1">
        <f t="array" ref="C225">_xlfn.IFS(AND('Formulário MT'!$AD$34&lt;&gt;"Conexão Nova",AR215="Sim"),"Demanda contratada futura KW:**",AND('Formulário MT'!$AD$34="Conexão Nova",AR215="Sim"),"Demanda contratada KW:*",TRUE,"")</f>
        <v/>
      </c>
      <c r="D225" s="917"/>
      <c r="E225" s="917"/>
      <c r="F225" s="917"/>
      <c r="G225" s="917"/>
      <c r="H225" s="917"/>
      <c r="I225" s="917"/>
      <c r="J225" s="917"/>
      <c r="K225" s="917"/>
      <c r="L225" s="917"/>
      <c r="M225" s="917"/>
      <c r="N225" s="917"/>
      <c r="O225" s="917"/>
      <c r="P225" s="917"/>
      <c r="Q225" s="972"/>
      <c r="R225" s="917" t="str">
        <f>IF(AND(AR215="Sim",AA215="Azul"),"Demanda ponta?:","")</f>
        <v/>
      </c>
      <c r="S225" s="917"/>
      <c r="T225" s="917"/>
      <c r="U225" s="917"/>
      <c r="V225" s="917"/>
      <c r="W225" s="917"/>
      <c r="X225" s="917"/>
      <c r="Y225" s="918"/>
      <c r="Z225" s="918"/>
      <c r="AA225" s="918"/>
      <c r="AB225" s="918"/>
      <c r="AC225" s="918"/>
      <c r="AD225" s="918"/>
      <c r="AE225" s="918"/>
      <c r="AF225" s="973" t="str">
        <f>IF(AND(AR215="Sim",AA215="Azul"),"Demanda fora de ponta?:","")</f>
        <v/>
      </c>
      <c r="AG225" s="973"/>
      <c r="AH225" s="973"/>
      <c r="AI225" s="973"/>
      <c r="AJ225" s="973"/>
      <c r="AK225" s="973"/>
      <c r="AL225" s="973"/>
      <c r="AM225" s="973"/>
      <c r="AN225" s="973"/>
      <c r="AO225" s="973"/>
      <c r="AP225" s="956"/>
      <c r="AQ225" s="957"/>
      <c r="AR225" s="957"/>
      <c r="AS225" s="957"/>
      <c r="AT225" s="957"/>
      <c r="AU225" s="957"/>
      <c r="AV225" s="958"/>
      <c r="AW225" s="959" t="str">
        <f>IF(AR215="Sim","Início de Uso:*","")</f>
        <v/>
      </c>
      <c r="AX225" s="959"/>
      <c r="AY225" s="959"/>
      <c r="AZ225" s="959"/>
      <c r="BA225" s="959"/>
      <c r="BB225" s="959"/>
      <c r="BC225" s="960"/>
      <c r="BD225" s="960"/>
      <c r="BE225" s="960"/>
      <c r="BF225" s="960"/>
      <c r="BG225" s="960"/>
      <c r="BH225" s="960"/>
      <c r="BI225" s="960"/>
      <c r="BJ225" s="960"/>
      <c r="BK225" s="172"/>
    </row>
    <row r="226" spans="2:63" ht="2.1" customHeight="1" x14ac:dyDescent="0.3">
      <c r="B226" s="199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172"/>
    </row>
    <row r="227" spans="2:63" ht="3" customHeight="1" x14ac:dyDescent="0.3">
      <c r="B227" s="199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100"/>
      <c r="AP227" s="100"/>
      <c r="AQ227" s="100"/>
      <c r="AR227" s="100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172"/>
    </row>
    <row r="228" spans="2:63" ht="20.100000000000001" customHeight="1" x14ac:dyDescent="0.3">
      <c r="B228" s="199"/>
      <c r="C228" s="962" t="s">
        <v>152</v>
      </c>
      <c r="D228" s="963"/>
      <c r="E228" s="963"/>
      <c r="F228" s="963"/>
      <c r="G228" s="963"/>
      <c r="H228" s="963"/>
      <c r="I228" s="963"/>
      <c r="J228" s="963"/>
      <c r="K228" s="963"/>
      <c r="L228" s="963"/>
      <c r="M228" s="963"/>
      <c r="N228" s="963"/>
      <c r="O228" s="963"/>
      <c r="P228" s="963"/>
      <c r="Q228" s="963"/>
      <c r="R228" s="963"/>
      <c r="S228" s="963"/>
      <c r="T228" s="963"/>
      <c r="U228" s="963"/>
      <c r="V228" s="963"/>
      <c r="W228" s="963"/>
      <c r="X228" s="963"/>
      <c r="Y228" s="963"/>
      <c r="Z228" s="963"/>
      <c r="AA228" s="963"/>
      <c r="AB228" s="963"/>
      <c r="AC228" s="963"/>
      <c r="AD228" s="963"/>
      <c r="AE228" s="963"/>
      <c r="AF228" s="963"/>
      <c r="AG228" s="963"/>
      <c r="AH228" s="963"/>
      <c r="AI228" s="963"/>
      <c r="AJ228" s="963"/>
      <c r="AK228" s="964"/>
      <c r="AL228" s="965"/>
      <c r="AM228" s="966"/>
      <c r="AN228" s="967"/>
      <c r="AO228" s="968" t="str">
        <f>IF(AL228="Sim","Informar potência da geração:","")</f>
        <v/>
      </c>
      <c r="AP228" s="969"/>
      <c r="AQ228" s="969"/>
      <c r="AR228" s="969"/>
      <c r="AS228" s="969"/>
      <c r="AT228" s="969"/>
      <c r="AU228" s="969"/>
      <c r="AV228" s="969"/>
      <c r="AW228" s="969"/>
      <c r="AX228" s="969"/>
      <c r="AY228" s="969"/>
      <c r="AZ228" s="969"/>
      <c r="BA228" s="969"/>
      <c r="BB228" s="969"/>
      <c r="BC228" s="969"/>
      <c r="BD228" s="969"/>
      <c r="BE228" s="969"/>
      <c r="BF228" s="970"/>
      <c r="BG228" s="971"/>
      <c r="BH228" s="971"/>
      <c r="BI228" s="971"/>
      <c r="BJ228" s="1047"/>
      <c r="BK228" s="172"/>
    </row>
    <row r="229" spans="2:63" ht="3.9" customHeight="1" x14ac:dyDescent="0.3">
      <c r="B229" s="199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94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172"/>
    </row>
    <row r="230" spans="2:63" ht="20.100000000000001" customHeight="1" x14ac:dyDescent="0.3">
      <c r="B230" s="199"/>
      <c r="C230" s="968" t="s">
        <v>153</v>
      </c>
      <c r="D230" s="969"/>
      <c r="E230" s="969"/>
      <c r="F230" s="969"/>
      <c r="G230" s="969"/>
      <c r="H230" s="969"/>
      <c r="I230" s="969"/>
      <c r="J230" s="969"/>
      <c r="K230" s="969"/>
      <c r="L230" s="969"/>
      <c r="M230" s="969"/>
      <c r="N230" s="969"/>
      <c r="O230" s="969"/>
      <c r="P230" s="969"/>
      <c r="Q230" s="969"/>
      <c r="R230" s="969"/>
      <c r="S230" s="969"/>
      <c r="T230" s="969"/>
      <c r="U230" s="969"/>
      <c r="V230" s="969"/>
      <c r="W230" s="969"/>
      <c r="X230" s="969"/>
      <c r="Y230" s="969"/>
      <c r="Z230" s="969"/>
      <c r="AA230" s="969"/>
      <c r="AB230" s="969"/>
      <c r="AC230" s="969"/>
      <c r="AD230" s="969"/>
      <c r="AE230" s="969"/>
      <c r="AF230" s="969"/>
      <c r="AG230" s="969"/>
      <c r="AH230" s="969"/>
      <c r="AI230" s="969"/>
      <c r="AJ230" s="969"/>
      <c r="AK230" s="978"/>
      <c r="AL230" s="965"/>
      <c r="AM230" s="966"/>
      <c r="AN230" s="967"/>
      <c r="AO230" s="968" t="str">
        <f>IF(AL230="Sim","Informar potência da geração:","")</f>
        <v/>
      </c>
      <c r="AP230" s="969"/>
      <c r="AQ230" s="969"/>
      <c r="AR230" s="969"/>
      <c r="AS230" s="969"/>
      <c r="AT230" s="969"/>
      <c r="AU230" s="969"/>
      <c r="AV230" s="969"/>
      <c r="AW230" s="969"/>
      <c r="AX230" s="969"/>
      <c r="AY230" s="969"/>
      <c r="AZ230" s="969"/>
      <c r="BA230" s="969"/>
      <c r="BB230" s="969"/>
      <c r="BC230" s="969"/>
      <c r="BD230" s="969"/>
      <c r="BE230" s="969"/>
      <c r="BF230" s="984"/>
      <c r="BG230" s="985"/>
      <c r="BH230" s="985"/>
      <c r="BI230" s="985"/>
      <c r="BJ230" s="1046"/>
      <c r="BK230" s="172"/>
    </row>
    <row r="231" spans="2:63" ht="15" thickBot="1" x14ac:dyDescent="0.35">
      <c r="B231" s="201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3"/>
    </row>
    <row r="232" spans="2:63" x14ac:dyDescent="0.3"/>
  </sheetData>
  <sheetProtection algorithmName="SHA-512" hashValue="0dsJOzk0B6fmfDc/o7kWlwXRvzMvc5ZTQ9knJNqE02AtDU5c6S/dkoVCiTawoe97sC03emcZLv0b4No/uvHHsQ==" saltValue="KEjs5ZC3aqIXUINgXqcvfw==" spinCount="100000" sheet="1" objects="1" scenarios="1" selectLockedCells="1"/>
  <mergeCells count="1029">
    <mergeCell ref="AZ201:BC201"/>
    <mergeCell ref="BD201:BJ201"/>
    <mergeCell ref="C201:K201"/>
    <mergeCell ref="L201:Q201"/>
    <mergeCell ref="R201:V201"/>
    <mergeCell ref="W201:AB201"/>
    <mergeCell ref="AC201:AH201"/>
    <mergeCell ref="AI201:AM201"/>
    <mergeCell ref="AN201:AQ201"/>
    <mergeCell ref="AR201:AU201"/>
    <mergeCell ref="AV201:AY201"/>
    <mergeCell ref="AZ199:BC199"/>
    <mergeCell ref="BD199:BJ199"/>
    <mergeCell ref="C200:K200"/>
    <mergeCell ref="L200:Q200"/>
    <mergeCell ref="R200:V200"/>
    <mergeCell ref="W200:AB200"/>
    <mergeCell ref="AC200:AH200"/>
    <mergeCell ref="AI200:AM200"/>
    <mergeCell ref="AN200:AQ200"/>
    <mergeCell ref="AR200:AU200"/>
    <mergeCell ref="AV200:AY200"/>
    <mergeCell ref="AZ200:BC200"/>
    <mergeCell ref="BD200:BJ200"/>
    <mergeCell ref="C199:K199"/>
    <mergeCell ref="L199:Q199"/>
    <mergeCell ref="R199:V199"/>
    <mergeCell ref="W199:AB199"/>
    <mergeCell ref="AC199:AH199"/>
    <mergeCell ref="AI199:AM199"/>
    <mergeCell ref="AN199:AQ199"/>
    <mergeCell ref="AR199:AU199"/>
    <mergeCell ref="AV199:AY199"/>
    <mergeCell ref="AZ197:BC197"/>
    <mergeCell ref="BD197:BJ197"/>
    <mergeCell ref="C198:K198"/>
    <mergeCell ref="L198:Q198"/>
    <mergeCell ref="R198:V198"/>
    <mergeCell ref="W198:AB198"/>
    <mergeCell ref="AC198:AH198"/>
    <mergeCell ref="AI198:AM198"/>
    <mergeCell ref="AN198:AQ198"/>
    <mergeCell ref="AR198:AU198"/>
    <mergeCell ref="AV198:AY198"/>
    <mergeCell ref="AZ198:BC198"/>
    <mergeCell ref="BD198:BJ198"/>
    <mergeCell ref="C197:K197"/>
    <mergeCell ref="L197:Q197"/>
    <mergeCell ref="R197:V197"/>
    <mergeCell ref="W197:AB197"/>
    <mergeCell ref="AC197:AH197"/>
    <mergeCell ref="AI197:AM197"/>
    <mergeCell ref="AN197:AQ197"/>
    <mergeCell ref="AR197:AU197"/>
    <mergeCell ref="AV197:AY197"/>
    <mergeCell ref="AV193:AY193"/>
    <mergeCell ref="AZ195:BC195"/>
    <mergeCell ref="BD195:BJ195"/>
    <mergeCell ref="C196:K196"/>
    <mergeCell ref="L196:Q196"/>
    <mergeCell ref="R196:V196"/>
    <mergeCell ref="W196:AB196"/>
    <mergeCell ref="AC196:AH196"/>
    <mergeCell ref="AI196:AM196"/>
    <mergeCell ref="AN196:AQ196"/>
    <mergeCell ref="AR196:AU196"/>
    <mergeCell ref="AV196:AY196"/>
    <mergeCell ref="AZ196:BC196"/>
    <mergeCell ref="BD196:BJ196"/>
    <mergeCell ref="C195:K195"/>
    <mergeCell ref="L195:Q195"/>
    <mergeCell ref="R195:V195"/>
    <mergeCell ref="W195:AB195"/>
    <mergeCell ref="AC195:AH195"/>
    <mergeCell ref="AI195:AM195"/>
    <mergeCell ref="AN195:AQ195"/>
    <mergeCell ref="AR195:AU195"/>
    <mergeCell ref="AV195:AY195"/>
    <mergeCell ref="C192:K192"/>
    <mergeCell ref="L192:Q192"/>
    <mergeCell ref="R192:V192"/>
    <mergeCell ref="W192:AB192"/>
    <mergeCell ref="AC192:AH192"/>
    <mergeCell ref="AI192:AM192"/>
    <mergeCell ref="AN192:AQ192"/>
    <mergeCell ref="AR192:AU192"/>
    <mergeCell ref="AV192:AY192"/>
    <mergeCell ref="AZ192:BC192"/>
    <mergeCell ref="BD192:BJ192"/>
    <mergeCell ref="AZ193:BC193"/>
    <mergeCell ref="BD193:BJ193"/>
    <mergeCell ref="C194:K194"/>
    <mergeCell ref="L194:Q194"/>
    <mergeCell ref="R194:V194"/>
    <mergeCell ref="W194:AB194"/>
    <mergeCell ref="AC194:AH194"/>
    <mergeCell ref="AI194:AM194"/>
    <mergeCell ref="AN194:AQ194"/>
    <mergeCell ref="AR194:AU194"/>
    <mergeCell ref="AV194:AY194"/>
    <mergeCell ref="AZ194:BC194"/>
    <mergeCell ref="BD194:BJ194"/>
    <mergeCell ref="C193:K193"/>
    <mergeCell ref="L193:Q193"/>
    <mergeCell ref="R193:V193"/>
    <mergeCell ref="W193:AB193"/>
    <mergeCell ref="AC193:AH193"/>
    <mergeCell ref="AI193:AM193"/>
    <mergeCell ref="AN193:AQ193"/>
    <mergeCell ref="AR193:AU193"/>
    <mergeCell ref="AZ143:BC143"/>
    <mergeCell ref="BD143:BJ143"/>
    <mergeCell ref="C144:K144"/>
    <mergeCell ref="L144:Q144"/>
    <mergeCell ref="R144:V144"/>
    <mergeCell ref="W144:AB144"/>
    <mergeCell ref="AC144:AH144"/>
    <mergeCell ref="AI144:AM144"/>
    <mergeCell ref="AN144:AQ144"/>
    <mergeCell ref="AR144:AU144"/>
    <mergeCell ref="AV144:AY144"/>
    <mergeCell ref="AZ144:BC144"/>
    <mergeCell ref="BD144:BJ144"/>
    <mergeCell ref="C143:K143"/>
    <mergeCell ref="L143:Q143"/>
    <mergeCell ref="R143:V143"/>
    <mergeCell ref="W143:AB143"/>
    <mergeCell ref="AC143:AH143"/>
    <mergeCell ref="AI143:AM143"/>
    <mergeCell ref="AN143:AQ143"/>
    <mergeCell ref="AR143:AU143"/>
    <mergeCell ref="AV143:AY143"/>
    <mergeCell ref="AZ141:BC141"/>
    <mergeCell ref="BD141:BJ141"/>
    <mergeCell ref="C142:K142"/>
    <mergeCell ref="L142:Q142"/>
    <mergeCell ref="R142:V142"/>
    <mergeCell ref="W142:AB142"/>
    <mergeCell ref="AC142:AH142"/>
    <mergeCell ref="AI142:AM142"/>
    <mergeCell ref="AN142:AQ142"/>
    <mergeCell ref="AR142:AU142"/>
    <mergeCell ref="AV142:AY142"/>
    <mergeCell ref="AZ142:BC142"/>
    <mergeCell ref="BD142:BJ142"/>
    <mergeCell ref="C141:K141"/>
    <mergeCell ref="L141:Q141"/>
    <mergeCell ref="R141:V141"/>
    <mergeCell ref="W141:AB141"/>
    <mergeCell ref="AC141:AH141"/>
    <mergeCell ref="AI141:AM141"/>
    <mergeCell ref="AN141:AQ141"/>
    <mergeCell ref="AR141:AU141"/>
    <mergeCell ref="AV141:AY141"/>
    <mergeCell ref="AZ139:BC139"/>
    <mergeCell ref="BD139:BJ139"/>
    <mergeCell ref="C140:K140"/>
    <mergeCell ref="L140:Q140"/>
    <mergeCell ref="R140:V140"/>
    <mergeCell ref="W140:AB140"/>
    <mergeCell ref="AC140:AH140"/>
    <mergeCell ref="AI140:AM140"/>
    <mergeCell ref="AN140:AQ140"/>
    <mergeCell ref="AR140:AU140"/>
    <mergeCell ref="AV140:AY140"/>
    <mergeCell ref="AZ140:BC140"/>
    <mergeCell ref="BD140:BJ140"/>
    <mergeCell ref="C139:K139"/>
    <mergeCell ref="L139:Q139"/>
    <mergeCell ref="R139:V139"/>
    <mergeCell ref="W139:AB139"/>
    <mergeCell ref="AC139:AH139"/>
    <mergeCell ref="AI139:AM139"/>
    <mergeCell ref="AN139:AQ139"/>
    <mergeCell ref="AR139:AU139"/>
    <mergeCell ref="AV139:AY139"/>
    <mergeCell ref="AZ137:BC137"/>
    <mergeCell ref="BD137:BJ137"/>
    <mergeCell ref="C138:K138"/>
    <mergeCell ref="L138:Q138"/>
    <mergeCell ref="R138:V138"/>
    <mergeCell ref="W138:AB138"/>
    <mergeCell ref="AC138:AH138"/>
    <mergeCell ref="AI138:AM138"/>
    <mergeCell ref="AN138:AQ138"/>
    <mergeCell ref="AR138:AU138"/>
    <mergeCell ref="AV138:AY138"/>
    <mergeCell ref="AZ138:BC138"/>
    <mergeCell ref="BD138:BJ138"/>
    <mergeCell ref="C137:K137"/>
    <mergeCell ref="L137:Q137"/>
    <mergeCell ref="R137:V137"/>
    <mergeCell ref="W137:AB137"/>
    <mergeCell ref="AC137:AH137"/>
    <mergeCell ref="AI137:AM137"/>
    <mergeCell ref="AN137:AQ137"/>
    <mergeCell ref="AR137:AU137"/>
    <mergeCell ref="AV137:AY137"/>
    <mergeCell ref="C136:K136"/>
    <mergeCell ref="L136:Q136"/>
    <mergeCell ref="R136:V136"/>
    <mergeCell ref="W136:AB136"/>
    <mergeCell ref="AC136:AH136"/>
    <mergeCell ref="AI136:AM136"/>
    <mergeCell ref="AN136:AQ136"/>
    <mergeCell ref="AR136:AU136"/>
    <mergeCell ref="AV136:AY136"/>
    <mergeCell ref="AZ136:BC136"/>
    <mergeCell ref="BD136:BJ136"/>
    <mergeCell ref="AZ87:BC87"/>
    <mergeCell ref="BD87:BJ87"/>
    <mergeCell ref="C133:BJ133"/>
    <mergeCell ref="C134:K134"/>
    <mergeCell ref="L134:Q134"/>
    <mergeCell ref="R134:V134"/>
    <mergeCell ref="W134:AB134"/>
    <mergeCell ref="AC134:AH134"/>
    <mergeCell ref="AI134:AM134"/>
    <mergeCell ref="AN134:AQ134"/>
    <mergeCell ref="AR134:AU134"/>
    <mergeCell ref="AV134:AY134"/>
    <mergeCell ref="AZ134:BC134"/>
    <mergeCell ref="BD134:BJ134"/>
    <mergeCell ref="C87:K87"/>
    <mergeCell ref="L87:Q87"/>
    <mergeCell ref="R87:V87"/>
    <mergeCell ref="W87:AB87"/>
    <mergeCell ref="AC87:AH87"/>
    <mergeCell ref="AI87:AM87"/>
    <mergeCell ref="AN87:AQ87"/>
    <mergeCell ref="AR87:AU87"/>
    <mergeCell ref="AV87:AY87"/>
    <mergeCell ref="AZ85:BC85"/>
    <mergeCell ref="BD85:BJ85"/>
    <mergeCell ref="C86:K86"/>
    <mergeCell ref="L86:Q86"/>
    <mergeCell ref="R86:V86"/>
    <mergeCell ref="W86:AB86"/>
    <mergeCell ref="AC86:AH86"/>
    <mergeCell ref="AI86:AM86"/>
    <mergeCell ref="AN86:AQ86"/>
    <mergeCell ref="AR86:AU86"/>
    <mergeCell ref="AV86:AY86"/>
    <mergeCell ref="AZ86:BC86"/>
    <mergeCell ref="BD86:BJ86"/>
    <mergeCell ref="C85:K85"/>
    <mergeCell ref="L85:Q85"/>
    <mergeCell ref="R85:V85"/>
    <mergeCell ref="W85:AB85"/>
    <mergeCell ref="AC85:AH85"/>
    <mergeCell ref="AI85:AM85"/>
    <mergeCell ref="AN85:AQ85"/>
    <mergeCell ref="AR85:AU85"/>
    <mergeCell ref="AV85:AY85"/>
    <mergeCell ref="AZ83:BC83"/>
    <mergeCell ref="BD83:BJ83"/>
    <mergeCell ref="C84:K84"/>
    <mergeCell ref="L84:Q84"/>
    <mergeCell ref="R84:V84"/>
    <mergeCell ref="W84:AB84"/>
    <mergeCell ref="AC84:AH84"/>
    <mergeCell ref="AI84:AM84"/>
    <mergeCell ref="AN84:AQ84"/>
    <mergeCell ref="AR84:AU84"/>
    <mergeCell ref="AV84:AY84"/>
    <mergeCell ref="AZ84:BC84"/>
    <mergeCell ref="BD84:BJ84"/>
    <mergeCell ref="C83:K83"/>
    <mergeCell ref="L83:Q83"/>
    <mergeCell ref="R83:V83"/>
    <mergeCell ref="W83:AB83"/>
    <mergeCell ref="AC83:AH83"/>
    <mergeCell ref="AI83:AM83"/>
    <mergeCell ref="AN83:AQ83"/>
    <mergeCell ref="AR83:AU83"/>
    <mergeCell ref="AV83:AY83"/>
    <mergeCell ref="AV79:AY79"/>
    <mergeCell ref="AZ81:BC81"/>
    <mergeCell ref="BD81:BJ81"/>
    <mergeCell ref="C82:K82"/>
    <mergeCell ref="L82:Q82"/>
    <mergeCell ref="R82:V82"/>
    <mergeCell ref="W82:AB82"/>
    <mergeCell ref="AC82:AH82"/>
    <mergeCell ref="AI82:AM82"/>
    <mergeCell ref="AN82:AQ82"/>
    <mergeCell ref="AR82:AU82"/>
    <mergeCell ref="AV82:AY82"/>
    <mergeCell ref="AZ82:BC82"/>
    <mergeCell ref="BD82:BJ82"/>
    <mergeCell ref="C81:K81"/>
    <mergeCell ref="L81:Q81"/>
    <mergeCell ref="R81:V81"/>
    <mergeCell ref="W81:AB81"/>
    <mergeCell ref="AC81:AH81"/>
    <mergeCell ref="AI81:AM81"/>
    <mergeCell ref="AN81:AQ81"/>
    <mergeCell ref="AR81:AU81"/>
    <mergeCell ref="AV81:AY81"/>
    <mergeCell ref="C78:K78"/>
    <mergeCell ref="L78:Q78"/>
    <mergeCell ref="R78:V78"/>
    <mergeCell ref="W78:AB78"/>
    <mergeCell ref="AC78:AH78"/>
    <mergeCell ref="AI78:AM78"/>
    <mergeCell ref="AN78:AQ78"/>
    <mergeCell ref="AR78:AU78"/>
    <mergeCell ref="AV78:AY78"/>
    <mergeCell ref="AZ78:BC78"/>
    <mergeCell ref="BD78:BJ78"/>
    <mergeCell ref="AZ79:BC79"/>
    <mergeCell ref="BD79:BJ79"/>
    <mergeCell ref="C80:K80"/>
    <mergeCell ref="L80:Q80"/>
    <mergeCell ref="R80:V80"/>
    <mergeCell ref="W80:AB80"/>
    <mergeCell ref="AC80:AH80"/>
    <mergeCell ref="AI80:AM80"/>
    <mergeCell ref="AN80:AQ80"/>
    <mergeCell ref="AR80:AU80"/>
    <mergeCell ref="AV80:AY80"/>
    <mergeCell ref="AZ80:BC80"/>
    <mergeCell ref="BD80:BJ80"/>
    <mergeCell ref="C79:K79"/>
    <mergeCell ref="L79:Q79"/>
    <mergeCell ref="R79:V79"/>
    <mergeCell ref="W79:AB79"/>
    <mergeCell ref="AC79:AH79"/>
    <mergeCell ref="AI79:AM79"/>
    <mergeCell ref="AN79:AQ79"/>
    <mergeCell ref="AR79:AU79"/>
    <mergeCell ref="AZ29:BC29"/>
    <mergeCell ref="BD29:BJ29"/>
    <mergeCell ref="C30:K30"/>
    <mergeCell ref="L30:Q30"/>
    <mergeCell ref="R30:V30"/>
    <mergeCell ref="W30:AB30"/>
    <mergeCell ref="AC30:AH30"/>
    <mergeCell ref="AI30:AM30"/>
    <mergeCell ref="AN30:AQ30"/>
    <mergeCell ref="AR30:AU30"/>
    <mergeCell ref="AV30:AY30"/>
    <mergeCell ref="AZ30:BC30"/>
    <mergeCell ref="BD30:BJ30"/>
    <mergeCell ref="C29:K29"/>
    <mergeCell ref="L29:Q29"/>
    <mergeCell ref="R29:V29"/>
    <mergeCell ref="W29:AB29"/>
    <mergeCell ref="AC29:AH29"/>
    <mergeCell ref="AI29:AM29"/>
    <mergeCell ref="AN29:AQ29"/>
    <mergeCell ref="AR29:AU29"/>
    <mergeCell ref="AV29:AY29"/>
    <mergeCell ref="AZ27:BC27"/>
    <mergeCell ref="BD27:BJ27"/>
    <mergeCell ref="C28:K28"/>
    <mergeCell ref="L28:Q28"/>
    <mergeCell ref="R28:V28"/>
    <mergeCell ref="W28:AB28"/>
    <mergeCell ref="AC28:AH28"/>
    <mergeCell ref="AI28:AM28"/>
    <mergeCell ref="AN28:AQ28"/>
    <mergeCell ref="AR28:AU28"/>
    <mergeCell ref="AV28:AY28"/>
    <mergeCell ref="AZ28:BC28"/>
    <mergeCell ref="BD28:BJ28"/>
    <mergeCell ref="C27:K27"/>
    <mergeCell ref="L27:Q27"/>
    <mergeCell ref="R27:V27"/>
    <mergeCell ref="W27:AB27"/>
    <mergeCell ref="AC27:AH27"/>
    <mergeCell ref="AI27:AM27"/>
    <mergeCell ref="AN27:AQ27"/>
    <mergeCell ref="AR27:AU27"/>
    <mergeCell ref="AV27:AY27"/>
    <mergeCell ref="AZ25:BC25"/>
    <mergeCell ref="BD25:BJ25"/>
    <mergeCell ref="C26:K26"/>
    <mergeCell ref="L26:Q26"/>
    <mergeCell ref="R26:V26"/>
    <mergeCell ref="W26:AB26"/>
    <mergeCell ref="AC26:AH26"/>
    <mergeCell ref="AI26:AM26"/>
    <mergeCell ref="AN26:AQ26"/>
    <mergeCell ref="AR26:AU26"/>
    <mergeCell ref="AV26:AY26"/>
    <mergeCell ref="AZ26:BC26"/>
    <mergeCell ref="BD26:BJ26"/>
    <mergeCell ref="C25:K25"/>
    <mergeCell ref="L25:Q25"/>
    <mergeCell ref="R25:V25"/>
    <mergeCell ref="W25:AB25"/>
    <mergeCell ref="AC25:AH25"/>
    <mergeCell ref="AI25:AM25"/>
    <mergeCell ref="AN25:AQ25"/>
    <mergeCell ref="AR25:AU25"/>
    <mergeCell ref="AV25:AY25"/>
    <mergeCell ref="AZ23:BC23"/>
    <mergeCell ref="BD23:BJ23"/>
    <mergeCell ref="C24:K24"/>
    <mergeCell ref="L24:Q24"/>
    <mergeCell ref="R24:V24"/>
    <mergeCell ref="W24:AB24"/>
    <mergeCell ref="AC24:AH24"/>
    <mergeCell ref="AI24:AM24"/>
    <mergeCell ref="AN24:AQ24"/>
    <mergeCell ref="AR24:AU24"/>
    <mergeCell ref="AV24:AY24"/>
    <mergeCell ref="AZ24:BC24"/>
    <mergeCell ref="BD24:BJ24"/>
    <mergeCell ref="C23:K23"/>
    <mergeCell ref="L23:Q23"/>
    <mergeCell ref="R23:V23"/>
    <mergeCell ref="W23:AB23"/>
    <mergeCell ref="AC23:AH23"/>
    <mergeCell ref="AI23:AM23"/>
    <mergeCell ref="AN23:AQ23"/>
    <mergeCell ref="AR23:AU23"/>
    <mergeCell ref="AV23:AY23"/>
    <mergeCell ref="AZ21:BC21"/>
    <mergeCell ref="BD21:BJ21"/>
    <mergeCell ref="C22:K22"/>
    <mergeCell ref="L22:Q22"/>
    <mergeCell ref="R22:V22"/>
    <mergeCell ref="W22:AB22"/>
    <mergeCell ref="AC22:AH22"/>
    <mergeCell ref="AI22:AM22"/>
    <mergeCell ref="AN22:AQ22"/>
    <mergeCell ref="AR22:AU22"/>
    <mergeCell ref="AV22:AY22"/>
    <mergeCell ref="AZ22:BC22"/>
    <mergeCell ref="BD22:BJ22"/>
    <mergeCell ref="C21:K21"/>
    <mergeCell ref="L21:Q21"/>
    <mergeCell ref="R21:V21"/>
    <mergeCell ref="W21:AB21"/>
    <mergeCell ref="AC21:AH21"/>
    <mergeCell ref="AI21:AM21"/>
    <mergeCell ref="AN21:AQ21"/>
    <mergeCell ref="AR21:AU21"/>
    <mergeCell ref="AV21:AY21"/>
    <mergeCell ref="C19:BJ19"/>
    <mergeCell ref="C20:K20"/>
    <mergeCell ref="L20:Q20"/>
    <mergeCell ref="R20:V20"/>
    <mergeCell ref="W20:AB20"/>
    <mergeCell ref="AC20:AH20"/>
    <mergeCell ref="AI20:AM20"/>
    <mergeCell ref="AN20:AQ20"/>
    <mergeCell ref="AR20:AU20"/>
    <mergeCell ref="AV20:AY20"/>
    <mergeCell ref="AZ20:BC20"/>
    <mergeCell ref="BD20:BJ20"/>
    <mergeCell ref="C230:AK230"/>
    <mergeCell ref="AL230:AN230"/>
    <mergeCell ref="AO230:BE230"/>
    <mergeCell ref="BF230:BJ230"/>
    <mergeCell ref="AW225:BB225"/>
    <mergeCell ref="BC225:BJ225"/>
    <mergeCell ref="C228:AK228"/>
    <mergeCell ref="AL228:AN228"/>
    <mergeCell ref="AO228:BE228"/>
    <mergeCell ref="BF228:BJ228"/>
    <mergeCell ref="C225:Q225"/>
    <mergeCell ref="R225:X225"/>
    <mergeCell ref="Y225:AE225"/>
    <mergeCell ref="AF225:AO225"/>
    <mergeCell ref="AP225:AV225"/>
    <mergeCell ref="AW223:BB223"/>
    <mergeCell ref="BC223:BJ223"/>
    <mergeCell ref="C224:Q224"/>
    <mergeCell ref="R224:X224"/>
    <mergeCell ref="Y224:AE224"/>
    <mergeCell ref="AF224:AO224"/>
    <mergeCell ref="AP224:AV224"/>
    <mergeCell ref="AW224:BB224"/>
    <mergeCell ref="BC224:BJ224"/>
    <mergeCell ref="C223:Q223"/>
    <mergeCell ref="R223:X223"/>
    <mergeCell ref="Y223:AE223"/>
    <mergeCell ref="AF223:AO223"/>
    <mergeCell ref="AP223:AV223"/>
    <mergeCell ref="C221:BJ221"/>
    <mergeCell ref="C222:Q222"/>
    <mergeCell ref="R222:X222"/>
    <mergeCell ref="Y222:AE222"/>
    <mergeCell ref="AF222:AO222"/>
    <mergeCell ref="AP222:AV222"/>
    <mergeCell ref="AW222:BB222"/>
    <mergeCell ref="BC222:BJ222"/>
    <mergeCell ref="AY217:BJ219"/>
    <mergeCell ref="R219:AD219"/>
    <mergeCell ref="AF219:AI219"/>
    <mergeCell ref="AK219:AR219"/>
    <mergeCell ref="AT219:AW219"/>
    <mergeCell ref="C217:P219"/>
    <mergeCell ref="R217:AD217"/>
    <mergeCell ref="AF217:AI217"/>
    <mergeCell ref="AK217:AR217"/>
    <mergeCell ref="AT217:AW217"/>
    <mergeCell ref="C213:BJ213"/>
    <mergeCell ref="C215:Z215"/>
    <mergeCell ref="AA215:AE215"/>
    <mergeCell ref="AF215:AQ215"/>
    <mergeCell ref="AR215:AT215"/>
    <mergeCell ref="AU215:BJ215"/>
    <mergeCell ref="AY209:BA209"/>
    <mergeCell ref="BB209:BJ209"/>
    <mergeCell ref="C211:AD211"/>
    <mergeCell ref="AE211:AG211"/>
    <mergeCell ref="AI211:BJ211"/>
    <mergeCell ref="AS207:BG207"/>
    <mergeCell ref="BH207:BJ207"/>
    <mergeCell ref="R208:AD208"/>
    <mergeCell ref="AE208:AI208"/>
    <mergeCell ref="AJ208:AN208"/>
    <mergeCell ref="AO208:AR208"/>
    <mergeCell ref="AS208:BJ208"/>
    <mergeCell ref="C207:Q209"/>
    <mergeCell ref="R207:AD207"/>
    <mergeCell ref="AE207:AI207"/>
    <mergeCell ref="AJ207:AN207"/>
    <mergeCell ref="AO207:AR207"/>
    <mergeCell ref="R209:AL209"/>
    <mergeCell ref="AM209:AO209"/>
    <mergeCell ref="AP209:AX209"/>
    <mergeCell ref="C204:Q205"/>
    <mergeCell ref="R204:AF204"/>
    <mergeCell ref="AG204:AK204"/>
    <mergeCell ref="AL204:BJ204"/>
    <mergeCell ref="R205:AF205"/>
    <mergeCell ref="AG205:AK205"/>
    <mergeCell ref="AL205:BJ205"/>
    <mergeCell ref="AI187:AZ188"/>
    <mergeCell ref="BA187:BJ188"/>
    <mergeCell ref="C188:G188"/>
    <mergeCell ref="H188:L188"/>
    <mergeCell ref="M188:Q188"/>
    <mergeCell ref="R188:AD188"/>
    <mergeCell ref="C187:G187"/>
    <mergeCell ref="H187:L187"/>
    <mergeCell ref="M187:Q187"/>
    <mergeCell ref="R187:V187"/>
    <mergeCell ref="W187:AD187"/>
    <mergeCell ref="C190:BJ190"/>
    <mergeCell ref="C191:K191"/>
    <mergeCell ref="L191:Q191"/>
    <mergeCell ref="R191:V191"/>
    <mergeCell ref="W191:AB191"/>
    <mergeCell ref="AC191:AH191"/>
    <mergeCell ref="AI191:AM191"/>
    <mergeCell ref="AN191:AQ191"/>
    <mergeCell ref="AR191:AU191"/>
    <mergeCell ref="AV191:AY191"/>
    <mergeCell ref="AZ191:BC191"/>
    <mergeCell ref="BD191:BJ191"/>
    <mergeCell ref="AI185:AZ186"/>
    <mergeCell ref="BA185:BJ186"/>
    <mergeCell ref="C186:G186"/>
    <mergeCell ref="H186:L186"/>
    <mergeCell ref="M186:Q186"/>
    <mergeCell ref="R186:V186"/>
    <mergeCell ref="W186:AD186"/>
    <mergeCell ref="C185:G185"/>
    <mergeCell ref="H185:L185"/>
    <mergeCell ref="M185:Q185"/>
    <mergeCell ref="R185:V185"/>
    <mergeCell ref="W185:AD185"/>
    <mergeCell ref="AI183:AZ184"/>
    <mergeCell ref="BA183:BJ184"/>
    <mergeCell ref="C184:G184"/>
    <mergeCell ref="H184:L184"/>
    <mergeCell ref="M184:Q184"/>
    <mergeCell ref="R184:V184"/>
    <mergeCell ref="W184:AD184"/>
    <mergeCell ref="C183:G183"/>
    <mergeCell ref="H183:L183"/>
    <mergeCell ref="M183:Q183"/>
    <mergeCell ref="R183:V183"/>
    <mergeCell ref="W183:AD183"/>
    <mergeCell ref="C182:G182"/>
    <mergeCell ref="H182:L182"/>
    <mergeCell ref="M182:Q182"/>
    <mergeCell ref="R182:V182"/>
    <mergeCell ref="W182:AD182"/>
    <mergeCell ref="C178:AD178"/>
    <mergeCell ref="AI178:BJ178"/>
    <mergeCell ref="C180:G180"/>
    <mergeCell ref="H180:L180"/>
    <mergeCell ref="M180:Q180"/>
    <mergeCell ref="R180:V180"/>
    <mergeCell ref="W180:AD180"/>
    <mergeCell ref="AI180:BJ181"/>
    <mergeCell ref="C181:G181"/>
    <mergeCell ref="H181:L181"/>
    <mergeCell ref="M181:Q181"/>
    <mergeCell ref="R181:V181"/>
    <mergeCell ref="W181:AD181"/>
    <mergeCell ref="C173:AK173"/>
    <mergeCell ref="AL173:AN173"/>
    <mergeCell ref="AO173:BE173"/>
    <mergeCell ref="BF173:BJ173"/>
    <mergeCell ref="U176:Y176"/>
    <mergeCell ref="Z176:AI176"/>
    <mergeCell ref="AW168:BB168"/>
    <mergeCell ref="BC168:BJ168"/>
    <mergeCell ref="C171:AK171"/>
    <mergeCell ref="AL171:AN171"/>
    <mergeCell ref="AO171:BE171"/>
    <mergeCell ref="BF171:BJ171"/>
    <mergeCell ref="C168:Q168"/>
    <mergeCell ref="R168:X168"/>
    <mergeCell ref="Y168:AE168"/>
    <mergeCell ref="AF168:AO168"/>
    <mergeCell ref="AP168:AV168"/>
    <mergeCell ref="AW166:BB166"/>
    <mergeCell ref="BC166:BJ166"/>
    <mergeCell ref="C167:Q167"/>
    <mergeCell ref="R167:X167"/>
    <mergeCell ref="Y167:AE167"/>
    <mergeCell ref="AF167:AO167"/>
    <mergeCell ref="AP167:AV167"/>
    <mergeCell ref="AW167:BB167"/>
    <mergeCell ref="BC167:BJ167"/>
    <mergeCell ref="C166:Q166"/>
    <mergeCell ref="R166:X166"/>
    <mergeCell ref="Y166:AE166"/>
    <mergeCell ref="AF166:AO166"/>
    <mergeCell ref="AP166:AV166"/>
    <mergeCell ref="C164:BJ164"/>
    <mergeCell ref="C165:Q165"/>
    <mergeCell ref="R165:X165"/>
    <mergeCell ref="Y165:AE165"/>
    <mergeCell ref="AF165:AO165"/>
    <mergeCell ref="AP165:AV165"/>
    <mergeCell ref="AW165:BB165"/>
    <mergeCell ref="BC165:BJ165"/>
    <mergeCell ref="AY160:BJ162"/>
    <mergeCell ref="R162:AD162"/>
    <mergeCell ref="AF162:AI162"/>
    <mergeCell ref="AK162:AR162"/>
    <mergeCell ref="AT162:AW162"/>
    <mergeCell ref="C160:P162"/>
    <mergeCell ref="R160:AD160"/>
    <mergeCell ref="AF160:AI160"/>
    <mergeCell ref="AK160:AR160"/>
    <mergeCell ref="AT160:AW160"/>
    <mergeCell ref="C156:BJ156"/>
    <mergeCell ref="C158:Z158"/>
    <mergeCell ref="AA158:AE158"/>
    <mergeCell ref="AF158:AQ158"/>
    <mergeCell ref="AR158:AT158"/>
    <mergeCell ref="AU158:BJ158"/>
    <mergeCell ref="AY152:BA152"/>
    <mergeCell ref="BB152:BJ152"/>
    <mergeCell ref="C154:AD154"/>
    <mergeCell ref="AE154:AG154"/>
    <mergeCell ref="AI154:BJ154"/>
    <mergeCell ref="AS150:BG150"/>
    <mergeCell ref="BH150:BJ150"/>
    <mergeCell ref="R151:AD151"/>
    <mergeCell ref="AE151:AI151"/>
    <mergeCell ref="AJ151:AN151"/>
    <mergeCell ref="AO151:AR151"/>
    <mergeCell ref="AS151:BJ151"/>
    <mergeCell ref="C150:Q152"/>
    <mergeCell ref="R150:AD150"/>
    <mergeCell ref="AE150:AI150"/>
    <mergeCell ref="AJ150:AN150"/>
    <mergeCell ref="AO150:AR150"/>
    <mergeCell ref="R152:AL152"/>
    <mergeCell ref="AM152:AO152"/>
    <mergeCell ref="AP152:AX152"/>
    <mergeCell ref="C147:Q148"/>
    <mergeCell ref="R147:AF147"/>
    <mergeCell ref="AG147:AK147"/>
    <mergeCell ref="AL147:BJ147"/>
    <mergeCell ref="R148:AF148"/>
    <mergeCell ref="AG148:AK148"/>
    <mergeCell ref="AL148:BJ148"/>
    <mergeCell ref="AI130:AZ131"/>
    <mergeCell ref="BA130:BJ131"/>
    <mergeCell ref="C131:G131"/>
    <mergeCell ref="H131:L131"/>
    <mergeCell ref="M131:Q131"/>
    <mergeCell ref="R131:AD131"/>
    <mergeCell ref="C130:G130"/>
    <mergeCell ref="H130:L130"/>
    <mergeCell ref="M130:Q130"/>
    <mergeCell ref="R130:V130"/>
    <mergeCell ref="W130:AD130"/>
    <mergeCell ref="C135:K135"/>
    <mergeCell ref="L135:Q135"/>
    <mergeCell ref="R135:V135"/>
    <mergeCell ref="W135:AB135"/>
    <mergeCell ref="AC135:AH135"/>
    <mergeCell ref="AI135:AM135"/>
    <mergeCell ref="AN135:AQ135"/>
    <mergeCell ref="AR135:AU135"/>
    <mergeCell ref="AV135:AY135"/>
    <mergeCell ref="AZ135:BC135"/>
    <mergeCell ref="BD135:BJ135"/>
    <mergeCell ref="AI128:AZ129"/>
    <mergeCell ref="BA128:BJ129"/>
    <mergeCell ref="C129:G129"/>
    <mergeCell ref="H129:L129"/>
    <mergeCell ref="M129:Q129"/>
    <mergeCell ref="R129:V129"/>
    <mergeCell ref="W129:AD129"/>
    <mergeCell ref="H127:L127"/>
    <mergeCell ref="M127:Q127"/>
    <mergeCell ref="R127:V127"/>
    <mergeCell ref="W127:AD127"/>
    <mergeCell ref="C128:G128"/>
    <mergeCell ref="H128:L128"/>
    <mergeCell ref="M128:Q128"/>
    <mergeCell ref="R128:V128"/>
    <mergeCell ref="W128:AD128"/>
    <mergeCell ref="M124:Q124"/>
    <mergeCell ref="R124:V124"/>
    <mergeCell ref="W124:AD124"/>
    <mergeCell ref="C125:G125"/>
    <mergeCell ref="H125:L125"/>
    <mergeCell ref="M125:Q125"/>
    <mergeCell ref="R125:V125"/>
    <mergeCell ref="W125:AD125"/>
    <mergeCell ref="C116:AK116"/>
    <mergeCell ref="AL116:AN116"/>
    <mergeCell ref="AO116:BE116"/>
    <mergeCell ref="BF116:BJ116"/>
    <mergeCell ref="U119:Y119"/>
    <mergeCell ref="Z119:AI119"/>
    <mergeCell ref="AW111:BB111"/>
    <mergeCell ref="BC111:BJ111"/>
    <mergeCell ref="C114:AK114"/>
    <mergeCell ref="AL114:AN114"/>
    <mergeCell ref="AO114:BE114"/>
    <mergeCell ref="BF114:BJ114"/>
    <mergeCell ref="C111:Q111"/>
    <mergeCell ref="R111:X111"/>
    <mergeCell ref="Y111:AE111"/>
    <mergeCell ref="AF111:AO111"/>
    <mergeCell ref="AP111:AV111"/>
    <mergeCell ref="AW109:BB109"/>
    <mergeCell ref="BC109:BJ109"/>
    <mergeCell ref="C110:Q110"/>
    <mergeCell ref="R110:X110"/>
    <mergeCell ref="Y110:AE110"/>
    <mergeCell ref="AF110:AO110"/>
    <mergeCell ref="AP110:AV110"/>
    <mergeCell ref="AW110:BB110"/>
    <mergeCell ref="BC110:BJ110"/>
    <mergeCell ref="C109:Q109"/>
    <mergeCell ref="R109:X109"/>
    <mergeCell ref="Y109:AE109"/>
    <mergeCell ref="AF109:AO109"/>
    <mergeCell ref="AP109:AV109"/>
    <mergeCell ref="C107:BJ107"/>
    <mergeCell ref="C108:Q108"/>
    <mergeCell ref="R108:X108"/>
    <mergeCell ref="Y108:AE108"/>
    <mergeCell ref="AF108:AO108"/>
    <mergeCell ref="AP108:AV108"/>
    <mergeCell ref="AW108:BB108"/>
    <mergeCell ref="BC108:BJ108"/>
    <mergeCell ref="C103:P105"/>
    <mergeCell ref="AF103:AI103"/>
    <mergeCell ref="AK103:AR103"/>
    <mergeCell ref="AT103:AW103"/>
    <mergeCell ref="AY103:BJ105"/>
    <mergeCell ref="R105:AD105"/>
    <mergeCell ref="AF105:AI105"/>
    <mergeCell ref="AK105:AR105"/>
    <mergeCell ref="AT105:AW105"/>
    <mergeCell ref="R103:AD103"/>
    <mergeCell ref="C99:BJ99"/>
    <mergeCell ref="C101:Z101"/>
    <mergeCell ref="AA101:AE101"/>
    <mergeCell ref="AF101:AQ101"/>
    <mergeCell ref="AR101:AT101"/>
    <mergeCell ref="AU101:BJ101"/>
    <mergeCell ref="AY95:BA95"/>
    <mergeCell ref="BB95:BJ95"/>
    <mergeCell ref="C97:AD97"/>
    <mergeCell ref="AE97:AG97"/>
    <mergeCell ref="AI97:BJ97"/>
    <mergeCell ref="AS93:BG93"/>
    <mergeCell ref="BH93:BJ93"/>
    <mergeCell ref="R94:AD94"/>
    <mergeCell ref="AE94:AI94"/>
    <mergeCell ref="AJ94:AN94"/>
    <mergeCell ref="AO94:AR94"/>
    <mergeCell ref="AS94:BJ94"/>
    <mergeCell ref="C93:Q95"/>
    <mergeCell ref="R93:AD93"/>
    <mergeCell ref="AE93:AI93"/>
    <mergeCell ref="AJ93:AN93"/>
    <mergeCell ref="AO93:AR93"/>
    <mergeCell ref="R95:AL95"/>
    <mergeCell ref="AM95:AO95"/>
    <mergeCell ref="AP95:AX95"/>
    <mergeCell ref="C90:Q91"/>
    <mergeCell ref="R90:AF90"/>
    <mergeCell ref="AG90:AK90"/>
    <mergeCell ref="AL90:BJ90"/>
    <mergeCell ref="R91:AF91"/>
    <mergeCell ref="AG91:AK91"/>
    <mergeCell ref="AL91:BJ91"/>
    <mergeCell ref="AI73:AZ74"/>
    <mergeCell ref="BA73:BJ74"/>
    <mergeCell ref="C74:G74"/>
    <mergeCell ref="H74:L74"/>
    <mergeCell ref="M74:Q74"/>
    <mergeCell ref="R74:AD74"/>
    <mergeCell ref="C73:G73"/>
    <mergeCell ref="H73:L73"/>
    <mergeCell ref="M73:Q73"/>
    <mergeCell ref="R73:V73"/>
    <mergeCell ref="W73:AD73"/>
    <mergeCell ref="C76:BJ76"/>
    <mergeCell ref="C77:K77"/>
    <mergeCell ref="L77:Q77"/>
    <mergeCell ref="R77:V77"/>
    <mergeCell ref="W77:AB77"/>
    <mergeCell ref="AC77:AH77"/>
    <mergeCell ref="AI77:AM77"/>
    <mergeCell ref="AN77:AQ77"/>
    <mergeCell ref="AR77:AU77"/>
    <mergeCell ref="AV77:AY77"/>
    <mergeCell ref="AZ77:BC77"/>
    <mergeCell ref="BD77:BJ77"/>
    <mergeCell ref="C72:G72"/>
    <mergeCell ref="H72:L72"/>
    <mergeCell ref="M72:Q72"/>
    <mergeCell ref="R72:V72"/>
    <mergeCell ref="W72:AD72"/>
    <mergeCell ref="AI69:AZ70"/>
    <mergeCell ref="BA69:BJ70"/>
    <mergeCell ref="R71:V71"/>
    <mergeCell ref="W71:AD71"/>
    <mergeCell ref="AI71:AZ72"/>
    <mergeCell ref="BA71:BJ72"/>
    <mergeCell ref="C71:G71"/>
    <mergeCell ref="H71:L71"/>
    <mergeCell ref="M71:Q71"/>
    <mergeCell ref="AL33:BJ33"/>
    <mergeCell ref="U62:Y62"/>
    <mergeCell ref="Z62:AI62"/>
    <mergeCell ref="AP54:AV54"/>
    <mergeCell ref="AW54:BB54"/>
    <mergeCell ref="BC54:BJ54"/>
    <mergeCell ref="AK48:AR48"/>
    <mergeCell ref="AT48:AW48"/>
    <mergeCell ref="C50:BJ50"/>
    <mergeCell ref="C51:Q51"/>
    <mergeCell ref="R51:X51"/>
    <mergeCell ref="Y51:AE51"/>
    <mergeCell ref="AF51:AO51"/>
    <mergeCell ref="AP51:AV51"/>
    <mergeCell ref="AW51:BB51"/>
    <mergeCell ref="BC51:BJ51"/>
    <mergeCell ref="C42:BJ42"/>
    <mergeCell ref="C44:Z44"/>
    <mergeCell ref="AA44:AE44"/>
    <mergeCell ref="AF44:AQ44"/>
    <mergeCell ref="AR44:AT44"/>
    <mergeCell ref="AU44:BJ44"/>
    <mergeCell ref="C40:AD40"/>
    <mergeCell ref="AE40:AG40"/>
    <mergeCell ref="AI40:BJ40"/>
    <mergeCell ref="AS36:BG36"/>
    <mergeCell ref="BH36:BJ36"/>
    <mergeCell ref="R37:AD37"/>
    <mergeCell ref="AE37:AI37"/>
    <mergeCell ref="AJ37:AN37"/>
    <mergeCell ref="AO37:AR37"/>
    <mergeCell ref="AS37:BJ37"/>
    <mergeCell ref="C36:Q38"/>
    <mergeCell ref="R36:AD36"/>
    <mergeCell ref="AE36:AI36"/>
    <mergeCell ref="AJ36:AN36"/>
    <mergeCell ref="AO36:AR36"/>
    <mergeCell ref="R38:AL38"/>
    <mergeCell ref="AM38:AO38"/>
    <mergeCell ref="AP38:AX38"/>
    <mergeCell ref="C52:Q52"/>
    <mergeCell ref="C68:G68"/>
    <mergeCell ref="H68:L68"/>
    <mergeCell ref="M68:Q68"/>
    <mergeCell ref="W68:AD68"/>
    <mergeCell ref="AI12:AZ13"/>
    <mergeCell ref="BA12:BJ13"/>
    <mergeCell ref="R17:AD17"/>
    <mergeCell ref="C126:G126"/>
    <mergeCell ref="H126:L126"/>
    <mergeCell ref="M126:Q126"/>
    <mergeCell ref="R126:V126"/>
    <mergeCell ref="W126:AD126"/>
    <mergeCell ref="AI126:AZ127"/>
    <mergeCell ref="BA126:BJ127"/>
    <mergeCell ref="C127:G127"/>
    <mergeCell ref="C121:AD121"/>
    <mergeCell ref="AI121:BJ121"/>
    <mergeCell ref="C123:G123"/>
    <mergeCell ref="H123:L123"/>
    <mergeCell ref="M123:Q123"/>
    <mergeCell ref="R123:V123"/>
    <mergeCell ref="W123:AD123"/>
    <mergeCell ref="AI123:BJ124"/>
    <mergeCell ref="C124:G124"/>
    <mergeCell ref="H124:L124"/>
    <mergeCell ref="C59:AK59"/>
    <mergeCell ref="AY38:BA38"/>
    <mergeCell ref="BB38:BJ38"/>
    <mergeCell ref="AO59:BE59"/>
    <mergeCell ref="BF59:BJ59"/>
    <mergeCell ref="C64:AD64"/>
    <mergeCell ref="W67:AD67"/>
    <mergeCell ref="R68:V68"/>
    <mergeCell ref="C57:AK57"/>
    <mergeCell ref="AL57:AN57"/>
    <mergeCell ref="AO57:BE57"/>
    <mergeCell ref="BF57:BJ57"/>
    <mergeCell ref="AI66:BJ67"/>
    <mergeCell ref="C67:G67"/>
    <mergeCell ref="H67:L67"/>
    <mergeCell ref="M67:Q67"/>
    <mergeCell ref="C53:Q53"/>
    <mergeCell ref="R53:X53"/>
    <mergeCell ref="Y53:AE53"/>
    <mergeCell ref="AF53:AO53"/>
    <mergeCell ref="AP53:AV53"/>
    <mergeCell ref="AW53:BB53"/>
    <mergeCell ref="BC53:BJ53"/>
    <mergeCell ref="C54:Q54"/>
    <mergeCell ref="R54:X54"/>
    <mergeCell ref="Y54:AE54"/>
    <mergeCell ref="AF54:AO54"/>
    <mergeCell ref="AL59:AN59"/>
    <mergeCell ref="AI64:BJ64"/>
    <mergeCell ref="C66:G66"/>
    <mergeCell ref="H66:L66"/>
    <mergeCell ref="M66:Q66"/>
    <mergeCell ref="R66:V66"/>
    <mergeCell ref="C69:G69"/>
    <mergeCell ref="H69:L69"/>
    <mergeCell ref="M69:Q69"/>
    <mergeCell ref="R52:X52"/>
    <mergeCell ref="Y52:AE52"/>
    <mergeCell ref="C33:Q34"/>
    <mergeCell ref="R33:AF33"/>
    <mergeCell ref="AG33:AK33"/>
    <mergeCell ref="R34:AF34"/>
    <mergeCell ref="AG34:AK34"/>
    <mergeCell ref="AL34:BJ34"/>
    <mergeCell ref="R69:V69"/>
    <mergeCell ref="W69:AD69"/>
    <mergeCell ref="C70:G70"/>
    <mergeCell ref="H70:L70"/>
    <mergeCell ref="M70:Q70"/>
    <mergeCell ref="R70:V70"/>
    <mergeCell ref="W70:AD70"/>
    <mergeCell ref="AF46:AI46"/>
    <mergeCell ref="AK46:AR46"/>
    <mergeCell ref="AT46:AW46"/>
    <mergeCell ref="AY46:BJ48"/>
    <mergeCell ref="R48:AD48"/>
    <mergeCell ref="AF48:AI48"/>
    <mergeCell ref="C46:P48"/>
    <mergeCell ref="R46:AD46"/>
    <mergeCell ref="AF52:AO52"/>
    <mergeCell ref="AP52:AV52"/>
    <mergeCell ref="AW52:BB52"/>
    <mergeCell ref="W66:AD66"/>
    <mergeCell ref="BC52:BJ52"/>
    <mergeCell ref="R67:V67"/>
    <mergeCell ref="AI16:AZ17"/>
    <mergeCell ref="BA16:BJ17"/>
    <mergeCell ref="C17:G17"/>
    <mergeCell ref="H17:L17"/>
    <mergeCell ref="M17:Q17"/>
    <mergeCell ref="C16:G16"/>
    <mergeCell ref="H16:L16"/>
    <mergeCell ref="M16:Q16"/>
    <mergeCell ref="R16:V16"/>
    <mergeCell ref="W16:AD16"/>
    <mergeCell ref="AI14:AZ15"/>
    <mergeCell ref="BA14:BJ15"/>
    <mergeCell ref="C15:G15"/>
    <mergeCell ref="H15:L15"/>
    <mergeCell ref="M15:Q15"/>
    <mergeCell ref="R15:V15"/>
    <mergeCell ref="W15:AD15"/>
    <mergeCell ref="C14:G14"/>
    <mergeCell ref="H14:L14"/>
    <mergeCell ref="M14:Q14"/>
    <mergeCell ref="R14:V14"/>
    <mergeCell ref="W14:AD14"/>
    <mergeCell ref="C13:G13"/>
    <mergeCell ref="H13:L13"/>
    <mergeCell ref="M13:Q13"/>
    <mergeCell ref="R13:V13"/>
    <mergeCell ref="W13:AD13"/>
    <mergeCell ref="C12:G12"/>
    <mergeCell ref="H12:L12"/>
    <mergeCell ref="M12:Q12"/>
    <mergeCell ref="R12:V12"/>
    <mergeCell ref="W12:AD12"/>
    <mergeCell ref="C3:BJ3"/>
    <mergeCell ref="C11:G11"/>
    <mergeCell ref="H11:L11"/>
    <mergeCell ref="M11:Q11"/>
    <mergeCell ref="R11:V11"/>
    <mergeCell ref="W11:AD11"/>
    <mergeCell ref="C7:AD7"/>
    <mergeCell ref="AI7:BJ7"/>
    <mergeCell ref="C9:G9"/>
    <mergeCell ref="H9:L9"/>
    <mergeCell ref="M9:Q9"/>
    <mergeCell ref="R9:V9"/>
    <mergeCell ref="W9:AD9"/>
    <mergeCell ref="AI9:BJ10"/>
    <mergeCell ref="C10:G10"/>
    <mergeCell ref="H10:L10"/>
    <mergeCell ref="M10:Q10"/>
    <mergeCell ref="R10:V10"/>
    <mergeCell ref="W10:AD10"/>
    <mergeCell ref="Z5:AI5"/>
    <mergeCell ref="U5:Y5"/>
  </mergeCells>
  <conditionalFormatting sqref="AL57 AL59">
    <cfRule type="expression" dxfId="17" priority="44">
      <formula>#REF!="3 - Desejo ser beneficiado apenas com o(s) seguinte(s) item(ns):"</formula>
    </cfRule>
  </conditionalFormatting>
  <conditionalFormatting sqref="AL114 AL116">
    <cfRule type="expression" dxfId="16" priority="20">
      <formula>#REF!="3 - Desejo ser beneficiado apenas com o(s) seguinte(s) item(ns):"</formula>
    </cfRule>
  </conditionalFormatting>
  <conditionalFormatting sqref="AL171 AL173">
    <cfRule type="expression" dxfId="15" priority="14">
      <formula>#REF!="3 - Desejo ser beneficiado apenas com o(s) seguinte(s) item(ns):"</formula>
    </cfRule>
  </conditionalFormatting>
  <conditionalFormatting sqref="AL228 AL230">
    <cfRule type="expression" dxfId="14" priority="8">
      <formula>#REF!="3 - Desejo ser beneficiado apenas com o(s) seguinte(s) item(ns):"</formula>
    </cfRule>
  </conditionalFormatting>
  <conditionalFormatting sqref="AO57:BJ57">
    <cfRule type="expression" dxfId="13" priority="32">
      <formula>$AL$116="Não"</formula>
    </cfRule>
  </conditionalFormatting>
  <conditionalFormatting sqref="AO59:BJ59">
    <cfRule type="expression" dxfId="12" priority="31">
      <formula>$AL$118="Não"</formula>
    </cfRule>
  </conditionalFormatting>
  <conditionalFormatting sqref="AO114:BJ114">
    <cfRule type="expression" dxfId="11" priority="17">
      <formula>$AL$116="Não"</formula>
    </cfRule>
  </conditionalFormatting>
  <conditionalFormatting sqref="AO116:BJ116">
    <cfRule type="expression" dxfId="10" priority="16">
      <formula>$AL$118="Não"</formula>
    </cfRule>
  </conditionalFormatting>
  <conditionalFormatting sqref="AO171:BJ171">
    <cfRule type="expression" dxfId="9" priority="11">
      <formula>$AL$116="Não"</formula>
    </cfRule>
  </conditionalFormatting>
  <conditionalFormatting sqref="AO173:BJ173">
    <cfRule type="expression" dxfId="8" priority="10">
      <formula>$AL$118="Não"</formula>
    </cfRule>
  </conditionalFormatting>
  <conditionalFormatting sqref="AO228:BJ228">
    <cfRule type="expression" dxfId="7" priority="5">
      <formula>$AL$116="Não"</formula>
    </cfRule>
  </conditionalFormatting>
  <conditionalFormatting sqref="AO230:BJ230">
    <cfRule type="expression" dxfId="6" priority="4">
      <formula>$AL$118="Não"</formula>
    </cfRule>
  </conditionalFormatting>
  <dataValidations count="13">
    <dataValidation type="list" allowBlank="1" showInputMessage="1" showErrorMessage="1" prompt="Favor escolher entre &quot;Sim&quot; ou &quot;Não&quot;" sqref="AL59:AL60 AL57 AI58 AL116 AL114 AI115 AL173 AL171 AI172 AL230 AL228 AI229" xr:uid="{AB9F5F5D-333F-4922-8F7B-E50C4074F97A}">
      <formula1>"Sim,Não"</formula1>
    </dataValidation>
    <dataValidation type="list" allowBlank="1" showInputMessage="1" showErrorMessage="1" sqref="R10:V16 R67:V73 R124:V130 R181:V187" xr:uid="{13A25C35-C883-492E-BA27-034A9E24EB87}">
      <formula1>"A Óleo,A Seco"</formula1>
    </dataValidation>
    <dataValidation type="list" allowBlank="1" showErrorMessage="1" sqref="AP43 AM38:AM39 AM43 AP100 AM95:AM96 AM100 AP157 AM152:AM153 AM157 AP214 AM209:AM210 AM214" xr:uid="{2FC56214-7B5A-469F-80EE-E3218FC7A0A6}">
      <formula1>$BJ$110:$BJ$118</formula1>
    </dataValidation>
    <dataValidation operator="lessThanOrEqual" allowBlank="1" showInputMessage="1" showErrorMessage="1" prompt="Início de Uso - Formato DD/MM/AAAA - Favor inserir as barras" sqref="AK48:AS48 AK105:AS105 AK162:AS162 AK219:AS219" xr:uid="{F3EBAB83-CE7A-4893-926D-84F4289217EF}"/>
    <dataValidation type="date" operator="lessThanOrEqual" allowBlank="1" showInputMessage="1" showErrorMessage="1" prompt="Início de Uso - Formato DD/MM/AAAA - Favor inserir as barras" sqref="AC49:AE49 AD52:AE55 AW51:AW55 AC106:AE106 AD109:AE112 AW108:AW112 AC163:AE163 AD166:AE169 AW165:AW169 AC220:AE220 AD223:AE226 AW222:AW226" xr:uid="{1909F8B3-DF35-4339-AC74-70149A2F3782}">
      <formula1>73415</formula1>
    </dataValidation>
    <dataValidation type="list" allowBlank="1" showInputMessage="1" showErrorMessage="1" sqref="AA44 AA101 AA158 AA215" xr:uid="{FB2634BD-499E-4854-99E2-3D1F58BF03A0}">
      <formula1>"Verde,Azul"</formula1>
    </dataValidation>
    <dataValidation type="whole" operator="greaterThan" allowBlank="1" showErrorMessage="1" error="Demanda Minima permitida 30 KW" prompt="Carga instalada em kW" sqref="T35:U35 AG34 T92:U92 AG91 T149:U149 AG148 T206:U206 AG205" xr:uid="{BA538374-69A0-45CA-9622-BB21A805AA3D}">
      <formula1>0</formula1>
    </dataValidation>
    <dataValidation type="decimal" operator="greaterThan" allowBlank="1" showInputMessage="1" showErrorMessage="1" error="Demanda Minima permitida 30 KW" prompt="Carga instalada em kVA" sqref="AG33:AK33 AG90:AK90 AG147:AK147 AG204:AK204" xr:uid="{4093E12F-FA76-4C97-8367-B4FD0CA4B2A9}">
      <formula1>29</formula1>
    </dataValidation>
    <dataValidation allowBlank="1" showErrorMessage="1" sqref="AM38:AO39 AM43:AO60 AM95:AO96 AM100:AO116 AM152:AO153 AM157:AO173 AM209:AO210 AM214:AO230 BC51:BJ54 AP51:AV54 AP108:AV111 BC108:BJ111 BC165:BJ168 BC222:BJ225 AP165:AV168 AP222:AV225" xr:uid="{CC8352A3-9830-41B3-83D3-A40A1CF4E86D}"/>
    <dataValidation type="decimal" operator="greaterThan" allowBlank="1" showInputMessage="1" showErrorMessage="1" error="Demanda Minima permitida 30 KW" prompt="Carga instalada em kW" sqref="V35:W35 V92:W92 V149:W149 V206:W206" xr:uid="{E2FB6675-7340-45AF-9585-F5C5A94948D1}">
      <formula1>29</formula1>
    </dataValidation>
    <dataValidation type="list" allowBlank="1" showInputMessage="1" showErrorMessage="1" sqref="AE40:AE41 AE97:AE98 AE154:AE155 AE211:AE212" xr:uid="{091C5495-B6EB-497A-AB65-DB889DF3A46E}">
      <formula1>"Sim,Não"</formula1>
    </dataValidation>
    <dataValidation type="list" allowBlank="1" showErrorMessage="1" sqref="BH36 AR44 AS45 BH93 AR101 AS102 BH150 AR158 AS159 BH207 AR215 AS216" xr:uid="{DFE09929-4045-42F8-9DFA-3E9FFEA85EAF}">
      <formula1>"Sim,Não"</formula1>
    </dataValidation>
    <dataValidation type="list" allowBlank="1" showErrorMessage="1" sqref="R45 R102 R159 R216" xr:uid="{FAAC8057-598E-469B-91CE-CCFB2DCAEFB3}">
      <formula1>"Aéreo,Subterrâneo"</formula1>
    </dataValidation>
  </dataValidations>
  <pageMargins left="0.511811024" right="0.511811024" top="0.78740157499999996" bottom="0.78740157499999996" header="0.31496062000000002" footer="0.31496062000000002"/>
  <pageSetup paperSize="9" scale="37" orientation="portrait" r:id="rId1"/>
  <headerFooter>
    <oddFooter>&amp;R_x000D_&amp;1#&amp;"Calibri"&amp;10&amp;K000000 Classificação: Direcionado</oddFooter>
  </headerFooter>
  <rowBreaks count="1" manualBreakCount="1">
    <brk id="117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E27DF9B6-C04A-4358-AD33-EBE69ED8BA8C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C33:AL33 C34:BJ34</xm:sqref>
        </x14:conditionalFormatting>
        <x14:conditionalFormatting xmlns:xm="http://schemas.microsoft.com/office/excel/2006/main">
          <x14:cfRule type="expression" priority="18" id="{9E493079-E820-4752-9636-70A98DABDEDE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C90:AL90 C91:BJ91</xm:sqref>
        </x14:conditionalFormatting>
        <x14:conditionalFormatting xmlns:xm="http://schemas.microsoft.com/office/excel/2006/main">
          <x14:cfRule type="expression" priority="12" id="{FCE66DF6-447D-4B70-B565-E36F7D88FC9C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C147:AL147 C148:BJ148</xm:sqref>
        </x14:conditionalFormatting>
        <x14:conditionalFormatting xmlns:xm="http://schemas.microsoft.com/office/excel/2006/main">
          <x14:cfRule type="expression" priority="6" id="{AAD9101B-C641-45FD-9C04-75E73302E91B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C204:AL204 C205:BJ205</xm:sqref>
        </x14:conditionalFormatting>
        <x14:conditionalFormatting xmlns:xm="http://schemas.microsoft.com/office/excel/2006/main">
          <x14:cfRule type="expression" priority="42" id="{62E3EDF1-6A6C-4BBF-A814-F645F895F10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C36:BJ38 AH40</xm:sqref>
        </x14:conditionalFormatting>
        <x14:conditionalFormatting xmlns:xm="http://schemas.microsoft.com/office/excel/2006/main">
          <x14:cfRule type="expression" priority="19" id="{D61AB288-1617-4336-B846-51E6F935DB0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C93:BJ95 AH97</xm:sqref>
        </x14:conditionalFormatting>
        <x14:conditionalFormatting xmlns:xm="http://schemas.microsoft.com/office/excel/2006/main">
          <x14:cfRule type="expression" priority="13" id="{4C02C302-D0AF-45A1-9A07-F1E4803BB8BD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C150:BJ152 AH154</xm:sqref>
        </x14:conditionalFormatting>
        <x14:conditionalFormatting xmlns:xm="http://schemas.microsoft.com/office/excel/2006/main">
          <x14:cfRule type="expression" priority="7" id="{377AA7FA-1D1B-4864-B313-A619BEE0122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C207:BJ209 AH211</xm:sqref>
        </x14:conditionalFormatting>
        <x14:conditionalFormatting xmlns:xm="http://schemas.microsoft.com/office/excel/2006/main">
          <x14:cfRule type="expression" priority="27" id="{B893B3E9-EDE2-4ABA-804F-FD1C40F86FDF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H17:L17</xm:sqref>
        </x14:conditionalFormatting>
        <x14:conditionalFormatting xmlns:xm="http://schemas.microsoft.com/office/excel/2006/main">
          <x14:cfRule type="expression" priority="15" id="{C5F679B5-0CA5-4303-923D-EA17CA5993E8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H74:L74</xm:sqref>
        </x14:conditionalFormatting>
        <x14:conditionalFormatting xmlns:xm="http://schemas.microsoft.com/office/excel/2006/main">
          <x14:cfRule type="expression" priority="9" id="{0F691BB1-92B5-4F2E-90D7-C5ACF2C8E986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H131:L131</xm:sqref>
        </x14:conditionalFormatting>
        <x14:conditionalFormatting xmlns:xm="http://schemas.microsoft.com/office/excel/2006/main">
          <x14:cfRule type="expression" priority="3" id="{B009E2DC-FC83-4377-A877-C0302DC20C5F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H188:L188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708F291-65AD-4DC4-BF9C-0D26C2AF7032}">
          <x14:formula1>
            <xm:f>Listas!$F$2:$F$9</xm:f>
          </x14:formula1>
          <xm:sqref>AP38:AX39 AP95:AX96 AP152:AX153 AP209:AX210</xm:sqref>
        </x14:dataValidation>
        <x14:dataValidation type="list" allowBlank="1" showErrorMessage="1" xr:uid="{D94059D0-D356-4594-B209-39001F45776A}">
          <x14:formula1>
            <xm:f>Listas!$AL$3:$AL$9</xm:f>
          </x14:formula1>
          <xm:sqref>BB58:BJ58 BB209:BJ210 BB38:BJ39 BB115:BJ115 BC55:BJ56 BB95:BJ96 BB172:BJ172 BC112:BJ113 BB152:BJ153 BB229:BJ229 BC169:BJ170 BB43:BB56 BC43:BJ50 BB100:BB113 BC100:BJ107 BB157:BB170 BC157:BJ164 BB214:BB227 BC214:BJ221 BC226:BJ227</xm:sqref>
        </x14:dataValidation>
        <x14:dataValidation type="list" allowBlank="1" showErrorMessage="1" xr:uid="{EBAFB2F1-0077-4A75-B06C-EA3B7E79A509}">
          <x14:formula1>
            <xm:f>Listas!$F$2:$F$9</xm:f>
          </x14:formula1>
          <xm:sqref>AP46 AP214:AP215 AP48 AP43:AP44 AP103 AP50 AP105 AP100:AP101 AP160 AP107 AP162 AP157:AP158 AP217 AP164 AP219 AP221</xm:sqref>
        </x14:dataValidation>
        <x14:dataValidation type="list" allowBlank="1" showInputMessage="1" showErrorMessage="1" xr:uid="{F4FACC79-AF68-48EC-BD01-80C8271C26BD}">
          <x14:formula1>
            <xm:f>Listas!$BC$2:$BC$4</xm:f>
          </x14:formula1>
          <xm:sqref>L135:Q144 L21:Q30 L78:Q87 L192:Q201</xm:sqref>
        </x14:dataValidation>
        <x14:dataValidation type="list" allowBlank="1" showInputMessage="1" showErrorMessage="1" xr:uid="{907DD24D-2FAE-4AF2-A2B4-3E6C0BF056A4}">
          <x14:formula1>
            <xm:f>Listas!$BA$3:$BA$9</xm:f>
          </x14:formula1>
          <xm:sqref>BD135:BJ144 BD21:BJ30 BD78:BJ87 BD192:BJ201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Z1051"/>
  <sheetViews>
    <sheetView topLeftCell="A130" zoomScaleNormal="100" workbookViewId="0">
      <selection activeCell="E146" sqref="E146"/>
    </sheetView>
  </sheetViews>
  <sheetFormatPr defaultColWidth="14.44140625" defaultRowHeight="15" customHeight="1" x14ac:dyDescent="0.3"/>
  <cols>
    <col min="1" max="1" width="2.44140625" customWidth="1"/>
    <col min="2" max="2" width="22.33203125" customWidth="1"/>
    <col min="3" max="3" width="83.6640625" customWidth="1"/>
    <col min="4" max="4" width="15.5546875" customWidth="1"/>
    <col min="5" max="5" width="17.6640625" customWidth="1"/>
    <col min="6" max="26" width="11.44140625" customWidth="1"/>
  </cols>
  <sheetData>
    <row r="1" spans="1:26" ht="15.6" x14ac:dyDescent="0.3">
      <c r="A1" s="1"/>
      <c r="B1" s="1"/>
      <c r="C1" s="1" t="str">
        <f>IF(ISTEXT('Formulário MT'!H40),IF(LEN('Formulário MT'!H40)=11,LEFT('Formulário MT'!H40,3)&amp;"."&amp;MID('Formulário MT'!H40,4,3)&amp;"."&amp;MID('Formulário MT'!H40,7,3)&amp;"-"&amp;RIGHT('Formulário MT'!H40,2),LEFT('Formulário MT'!H40,2)&amp;"."&amp;MID('Formulário MT'!H40,3,3)&amp;"."&amp;MID('Formulário MT'!H40,6,3)&amp;"/"&amp;MID('Formulário MT'!H40,9,4)&amp;"-"&amp;RIGHT('Formulário MT'!H40,2)),"")</f>
        <v/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6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6" x14ac:dyDescent="0.3">
      <c r="A3" s="1"/>
      <c r="B3" s="70" t="s">
        <v>810</v>
      </c>
      <c r="C3" s="6">
        <f>'Formulário MT'!H40</f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 x14ac:dyDescent="0.3">
      <c r="A4" s="1"/>
      <c r="B4" s="7" t="s">
        <v>810</v>
      </c>
      <c r="C4" s="71">
        <f t="shared" ref="C4:M4" si="0">IFERROR(MID($C$3,LEN($C$3)-C5,1),0)</f>
        <v>0</v>
      </c>
      <c r="D4" s="71">
        <f t="shared" si="0"/>
        <v>0</v>
      </c>
      <c r="E4" s="71">
        <f t="shared" si="0"/>
        <v>0</v>
      </c>
      <c r="F4" s="71">
        <f t="shared" si="0"/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2">
        <f t="shared" si="0"/>
        <v>0</v>
      </c>
      <c r="M4" s="8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6" x14ac:dyDescent="0.3">
      <c r="A5" s="1"/>
      <c r="B5" s="73" t="s">
        <v>811</v>
      </c>
      <c r="C5" s="9">
        <v>10</v>
      </c>
      <c r="D5" s="9">
        <v>9</v>
      </c>
      <c r="E5" s="9">
        <v>8</v>
      </c>
      <c r="F5" s="9">
        <v>7</v>
      </c>
      <c r="G5" s="9">
        <v>6</v>
      </c>
      <c r="H5" s="9">
        <v>5</v>
      </c>
      <c r="I5" s="9">
        <v>4</v>
      </c>
      <c r="J5" s="9">
        <v>3</v>
      </c>
      <c r="K5" s="9">
        <v>2</v>
      </c>
      <c r="L5" s="10">
        <v>1</v>
      </c>
      <c r="M5" s="1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 x14ac:dyDescent="0.3">
      <c r="A6" s="1"/>
      <c r="B6" s="73" t="s">
        <v>812</v>
      </c>
      <c r="C6" s="10">
        <f t="shared" ref="C6:K6" si="1">C5*C4</f>
        <v>0</v>
      </c>
      <c r="D6" s="10">
        <f t="shared" si="1"/>
        <v>0</v>
      </c>
      <c r="E6" s="10">
        <f t="shared" si="1"/>
        <v>0</v>
      </c>
      <c r="F6" s="10">
        <f t="shared" si="1"/>
        <v>0</v>
      </c>
      <c r="G6" s="10">
        <f t="shared" si="1"/>
        <v>0</v>
      </c>
      <c r="H6" s="10">
        <f t="shared" si="1"/>
        <v>0</v>
      </c>
      <c r="I6" s="10">
        <f t="shared" si="1"/>
        <v>0</v>
      </c>
      <c r="J6" s="10">
        <f t="shared" si="1"/>
        <v>0</v>
      </c>
      <c r="K6" s="10">
        <f t="shared" si="1"/>
        <v>0</v>
      </c>
      <c r="L6" s="1"/>
      <c r="M6" s="1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 x14ac:dyDescent="0.3">
      <c r="A7" s="1"/>
      <c r="B7" s="73" t="s">
        <v>813</v>
      </c>
      <c r="C7" s="10">
        <f>SUMPRODUCT(C6:K6)</f>
        <v>0</v>
      </c>
      <c r="D7" s="10" t="s">
        <v>814</v>
      </c>
      <c r="E7" s="10">
        <f>MOD(C7,11)</f>
        <v>0</v>
      </c>
      <c r="F7" s="13" t="s">
        <v>815</v>
      </c>
      <c r="G7" s="13">
        <f>IF(E7&lt;2,0,11-E7)</f>
        <v>0</v>
      </c>
      <c r="H7" s="1"/>
      <c r="I7" s="1"/>
      <c r="J7" s="10"/>
      <c r="K7" s="10"/>
      <c r="L7" s="1"/>
      <c r="M7" s="1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 x14ac:dyDescent="0.3">
      <c r="A8" s="1"/>
      <c r="B8" s="73"/>
      <c r="C8" s="10"/>
      <c r="D8" s="10"/>
      <c r="E8" s="10"/>
      <c r="F8" s="10"/>
      <c r="G8" s="10"/>
      <c r="H8" s="10"/>
      <c r="I8" s="10"/>
      <c r="J8" s="10"/>
      <c r="K8" s="10"/>
      <c r="L8" s="1"/>
      <c r="M8" s="1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 x14ac:dyDescent="0.3">
      <c r="A9" s="1"/>
      <c r="B9" s="73" t="s">
        <v>810</v>
      </c>
      <c r="C9" s="9">
        <f t="shared" ref="C9:M9" si="2">C4</f>
        <v>0</v>
      </c>
      <c r="D9" s="9">
        <f t="shared" si="2"/>
        <v>0</v>
      </c>
      <c r="E9" s="9">
        <f t="shared" si="2"/>
        <v>0</v>
      </c>
      <c r="F9" s="9">
        <f t="shared" si="2"/>
        <v>0</v>
      </c>
      <c r="G9" s="9">
        <f t="shared" si="2"/>
        <v>0</v>
      </c>
      <c r="H9" s="9">
        <f t="shared" si="2"/>
        <v>0</v>
      </c>
      <c r="I9" s="9">
        <f t="shared" si="2"/>
        <v>0</v>
      </c>
      <c r="J9" s="9">
        <f t="shared" si="2"/>
        <v>0</v>
      </c>
      <c r="K9" s="9">
        <f t="shared" si="2"/>
        <v>0</v>
      </c>
      <c r="L9" s="10">
        <f t="shared" si="2"/>
        <v>0</v>
      </c>
      <c r="M9" s="11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 x14ac:dyDescent="0.3">
      <c r="A10" s="1"/>
      <c r="B10" s="73" t="s">
        <v>811</v>
      </c>
      <c r="C10" s="10">
        <v>11</v>
      </c>
      <c r="D10" s="10">
        <v>10</v>
      </c>
      <c r="E10" s="10">
        <v>9</v>
      </c>
      <c r="F10" s="10">
        <v>8</v>
      </c>
      <c r="G10" s="10">
        <v>7</v>
      </c>
      <c r="H10" s="10">
        <v>6</v>
      </c>
      <c r="I10" s="10">
        <v>5</v>
      </c>
      <c r="J10" s="10">
        <v>4</v>
      </c>
      <c r="K10" s="10">
        <v>3</v>
      </c>
      <c r="L10" s="10">
        <v>2</v>
      </c>
      <c r="M10" s="1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 x14ac:dyDescent="0.3">
      <c r="A11" s="1"/>
      <c r="B11" s="73" t="s">
        <v>812</v>
      </c>
      <c r="C11" s="10">
        <f t="shared" ref="C11:L11" si="3">C9*C10</f>
        <v>0</v>
      </c>
      <c r="D11" s="10">
        <f t="shared" si="3"/>
        <v>0</v>
      </c>
      <c r="E11" s="10">
        <f t="shared" si="3"/>
        <v>0</v>
      </c>
      <c r="F11" s="10">
        <f t="shared" si="3"/>
        <v>0</v>
      </c>
      <c r="G11" s="10">
        <f t="shared" si="3"/>
        <v>0</v>
      </c>
      <c r="H11" s="10">
        <f t="shared" si="3"/>
        <v>0</v>
      </c>
      <c r="I11" s="10">
        <f t="shared" si="3"/>
        <v>0</v>
      </c>
      <c r="J11" s="10">
        <f t="shared" si="3"/>
        <v>0</v>
      </c>
      <c r="K11" s="10">
        <f t="shared" si="3"/>
        <v>0</v>
      </c>
      <c r="L11" s="10">
        <f t="shared" si="3"/>
        <v>0</v>
      </c>
      <c r="M11" s="1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 x14ac:dyDescent="0.3">
      <c r="A12" s="1"/>
      <c r="B12" s="74" t="s">
        <v>813</v>
      </c>
      <c r="C12" s="75">
        <f>SUM(C11:L11)</f>
        <v>0</v>
      </c>
      <c r="D12" s="75" t="s">
        <v>814</v>
      </c>
      <c r="E12" s="75">
        <f>MOD(C12,11)</f>
        <v>0</v>
      </c>
      <c r="F12" s="76" t="s">
        <v>816</v>
      </c>
      <c r="G12" s="76">
        <f>IF(E12&lt;2,0,11-E12)</f>
        <v>0</v>
      </c>
      <c r="H12" s="75"/>
      <c r="I12" s="75"/>
      <c r="J12" s="75"/>
      <c r="K12" s="75"/>
      <c r="L12" s="77"/>
      <c r="M12" s="7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 x14ac:dyDescent="0.3">
      <c r="A13" s="1"/>
      <c r="B13" s="79" t="s">
        <v>817</v>
      </c>
      <c r="C13" s="14" t="b">
        <f>IF(AND(L4*1=G7,M4*1=G12),TRUE)</f>
        <v>1</v>
      </c>
      <c r="D13" s="10"/>
      <c r="E13" s="10"/>
      <c r="F13" s="10"/>
      <c r="G13" s="10"/>
      <c r="H13" s="10"/>
      <c r="I13" s="10"/>
      <c r="J13" s="10"/>
      <c r="K13" s="1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3">
      <c r="A14" s="1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 x14ac:dyDescent="0.3">
      <c r="A15" s="1"/>
      <c r="B15" s="70" t="s">
        <v>818</v>
      </c>
      <c r="C15" s="6">
        <f>'Formulário MT'!E40</f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 x14ac:dyDescent="0.3">
      <c r="A16" s="1"/>
      <c r="B16" s="7" t="s">
        <v>818</v>
      </c>
      <c r="C16" s="71">
        <f t="shared" ref="C16:P16" si="4">IFERROR(MID($C$15,LEN($C$15)-C17,1),0)</f>
        <v>0</v>
      </c>
      <c r="D16" s="71">
        <f t="shared" si="4"/>
        <v>0</v>
      </c>
      <c r="E16" s="71">
        <f t="shared" si="4"/>
        <v>0</v>
      </c>
      <c r="F16" s="71">
        <f t="shared" si="4"/>
        <v>0</v>
      </c>
      <c r="G16" s="71">
        <f t="shared" si="4"/>
        <v>0</v>
      </c>
      <c r="H16" s="71">
        <f t="shared" si="4"/>
        <v>0</v>
      </c>
      <c r="I16" s="71">
        <f t="shared" si="4"/>
        <v>0</v>
      </c>
      <c r="J16" s="71">
        <f t="shared" si="4"/>
        <v>0</v>
      </c>
      <c r="K16" s="71">
        <f t="shared" si="4"/>
        <v>0</v>
      </c>
      <c r="L16" s="71">
        <f t="shared" si="4"/>
        <v>0</v>
      </c>
      <c r="M16" s="71">
        <f t="shared" si="4"/>
        <v>0</v>
      </c>
      <c r="N16" s="71">
        <f t="shared" si="4"/>
        <v>0</v>
      </c>
      <c r="O16" s="71">
        <f t="shared" si="4"/>
        <v>0</v>
      </c>
      <c r="P16" s="15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 x14ac:dyDescent="0.3">
      <c r="A17" s="1"/>
      <c r="B17" s="73" t="s">
        <v>819</v>
      </c>
      <c r="C17" s="9">
        <v>13</v>
      </c>
      <c r="D17" s="9">
        <v>12</v>
      </c>
      <c r="E17" s="9">
        <v>11</v>
      </c>
      <c r="F17" s="9">
        <v>10</v>
      </c>
      <c r="G17" s="9">
        <v>9</v>
      </c>
      <c r="H17" s="9">
        <v>8</v>
      </c>
      <c r="I17" s="9">
        <v>7</v>
      </c>
      <c r="J17" s="9">
        <v>6</v>
      </c>
      <c r="K17" s="9">
        <v>5</v>
      </c>
      <c r="L17" s="9">
        <v>4</v>
      </c>
      <c r="M17" s="9">
        <v>3</v>
      </c>
      <c r="N17" s="9">
        <v>2</v>
      </c>
      <c r="O17" s="9">
        <v>1</v>
      </c>
      <c r="P17" s="16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 x14ac:dyDescent="0.3">
      <c r="A18" s="1"/>
      <c r="B18" s="73" t="s">
        <v>820</v>
      </c>
      <c r="C18" s="9">
        <v>5</v>
      </c>
      <c r="D18" s="9">
        <v>4</v>
      </c>
      <c r="E18" s="9">
        <v>3</v>
      </c>
      <c r="F18" s="9">
        <v>2</v>
      </c>
      <c r="G18" s="9">
        <v>9</v>
      </c>
      <c r="H18" s="9">
        <v>8</v>
      </c>
      <c r="I18" s="9">
        <v>7</v>
      </c>
      <c r="J18" s="9">
        <v>6</v>
      </c>
      <c r="K18" s="9">
        <v>5</v>
      </c>
      <c r="L18" s="10">
        <v>4</v>
      </c>
      <c r="M18" s="10">
        <v>3</v>
      </c>
      <c r="N18" s="9">
        <v>2</v>
      </c>
      <c r="O18" s="1"/>
      <c r="P18" s="1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 x14ac:dyDescent="0.3">
      <c r="A19" s="1"/>
      <c r="B19" s="73" t="s">
        <v>812</v>
      </c>
      <c r="C19" s="10">
        <f t="shared" ref="C19:N19" si="5">C18*C16</f>
        <v>0</v>
      </c>
      <c r="D19" s="10">
        <f t="shared" si="5"/>
        <v>0</v>
      </c>
      <c r="E19" s="10">
        <f t="shared" si="5"/>
        <v>0</v>
      </c>
      <c r="F19" s="10">
        <f t="shared" si="5"/>
        <v>0</v>
      </c>
      <c r="G19" s="10">
        <f t="shared" si="5"/>
        <v>0</v>
      </c>
      <c r="H19" s="10">
        <f t="shared" si="5"/>
        <v>0</v>
      </c>
      <c r="I19" s="10">
        <f t="shared" si="5"/>
        <v>0</v>
      </c>
      <c r="J19" s="10">
        <f t="shared" si="5"/>
        <v>0</v>
      </c>
      <c r="K19" s="10">
        <f t="shared" si="5"/>
        <v>0</v>
      </c>
      <c r="L19" s="10">
        <f t="shared" si="5"/>
        <v>0</v>
      </c>
      <c r="M19" s="10">
        <f t="shared" si="5"/>
        <v>0</v>
      </c>
      <c r="N19" s="10">
        <f t="shared" si="5"/>
        <v>0</v>
      </c>
      <c r="O19" s="1"/>
      <c r="P19" s="1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 x14ac:dyDescent="0.3">
      <c r="A20" s="1"/>
      <c r="B20" s="73" t="s">
        <v>813</v>
      </c>
      <c r="C20" s="10">
        <f>SUMPRODUCT(C19:N19)</f>
        <v>0</v>
      </c>
      <c r="D20" s="10" t="s">
        <v>814</v>
      </c>
      <c r="E20" s="10">
        <f>MOD(C20,11)</f>
        <v>0</v>
      </c>
      <c r="F20" s="10" t="s">
        <v>815</v>
      </c>
      <c r="G20" s="10">
        <f>IF(E20&lt;2,0,11-E20)</f>
        <v>0</v>
      </c>
      <c r="H20" s="1"/>
      <c r="I20" s="1"/>
      <c r="J20" s="10"/>
      <c r="K20" s="10"/>
      <c r="L20" s="1"/>
      <c r="M20" s="1"/>
      <c r="N20" s="1"/>
      <c r="O20" s="1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6" x14ac:dyDescent="0.3">
      <c r="A21" s="1"/>
      <c r="B21" s="73"/>
      <c r="C21" s="10"/>
      <c r="D21" s="10"/>
      <c r="E21" s="10"/>
      <c r="F21" s="10"/>
      <c r="G21" s="10"/>
      <c r="H21" s="10"/>
      <c r="I21" s="10"/>
      <c r="J21" s="10"/>
      <c r="K21" s="10"/>
      <c r="L21" s="1"/>
      <c r="M21" s="1"/>
      <c r="N21" s="1"/>
      <c r="O21" s="1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6" x14ac:dyDescent="0.3">
      <c r="A22" s="1"/>
      <c r="B22" s="73" t="s">
        <v>818</v>
      </c>
      <c r="C22" s="9">
        <f t="shared" ref="C22:P22" si="6">C16</f>
        <v>0</v>
      </c>
      <c r="D22" s="9">
        <f t="shared" si="6"/>
        <v>0</v>
      </c>
      <c r="E22" s="9">
        <f t="shared" si="6"/>
        <v>0</v>
      </c>
      <c r="F22" s="9">
        <f t="shared" si="6"/>
        <v>0</v>
      </c>
      <c r="G22" s="9">
        <f t="shared" si="6"/>
        <v>0</v>
      </c>
      <c r="H22" s="9">
        <f t="shared" si="6"/>
        <v>0</v>
      </c>
      <c r="I22" s="9">
        <f t="shared" si="6"/>
        <v>0</v>
      </c>
      <c r="J22" s="9">
        <f t="shared" si="6"/>
        <v>0</v>
      </c>
      <c r="K22" s="9">
        <f t="shared" si="6"/>
        <v>0</v>
      </c>
      <c r="L22" s="9">
        <f t="shared" si="6"/>
        <v>0</v>
      </c>
      <c r="M22" s="9">
        <f t="shared" si="6"/>
        <v>0</v>
      </c>
      <c r="N22" s="9">
        <f t="shared" si="6"/>
        <v>0</v>
      </c>
      <c r="O22" s="9">
        <f t="shared" si="6"/>
        <v>0</v>
      </c>
      <c r="P22" s="16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" x14ac:dyDescent="0.3">
      <c r="A23" s="1"/>
      <c r="B23" s="73" t="s">
        <v>811</v>
      </c>
      <c r="C23" s="10">
        <v>6</v>
      </c>
      <c r="D23" s="9">
        <v>5</v>
      </c>
      <c r="E23" s="9">
        <v>4</v>
      </c>
      <c r="F23" s="9">
        <v>3</v>
      </c>
      <c r="G23" s="9">
        <v>2</v>
      </c>
      <c r="H23" s="9">
        <v>9</v>
      </c>
      <c r="I23" s="9">
        <v>8</v>
      </c>
      <c r="J23" s="9">
        <v>7</v>
      </c>
      <c r="K23" s="9">
        <v>6</v>
      </c>
      <c r="L23" s="9">
        <v>5</v>
      </c>
      <c r="M23" s="10">
        <v>4</v>
      </c>
      <c r="N23" s="10">
        <v>3</v>
      </c>
      <c r="O23" s="9">
        <v>2</v>
      </c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6" x14ac:dyDescent="0.3">
      <c r="A24" s="1"/>
      <c r="B24" s="73" t="s">
        <v>812</v>
      </c>
      <c r="C24" s="10">
        <f t="shared" ref="C24:O24" si="7">C22*C23</f>
        <v>0</v>
      </c>
      <c r="D24" s="10">
        <f t="shared" si="7"/>
        <v>0</v>
      </c>
      <c r="E24" s="10">
        <f t="shared" si="7"/>
        <v>0</v>
      </c>
      <c r="F24" s="10">
        <f t="shared" si="7"/>
        <v>0</v>
      </c>
      <c r="G24" s="10">
        <f t="shared" si="7"/>
        <v>0</v>
      </c>
      <c r="H24" s="10">
        <f t="shared" si="7"/>
        <v>0</v>
      </c>
      <c r="I24" s="10">
        <f t="shared" si="7"/>
        <v>0</v>
      </c>
      <c r="J24" s="10">
        <f t="shared" si="7"/>
        <v>0</v>
      </c>
      <c r="K24" s="10">
        <f t="shared" si="7"/>
        <v>0</v>
      </c>
      <c r="L24" s="10">
        <f t="shared" si="7"/>
        <v>0</v>
      </c>
      <c r="M24" s="10">
        <f t="shared" si="7"/>
        <v>0</v>
      </c>
      <c r="N24" s="10">
        <f t="shared" si="7"/>
        <v>0</v>
      </c>
      <c r="O24" s="10">
        <f t="shared" si="7"/>
        <v>0</v>
      </c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6" x14ac:dyDescent="0.3">
      <c r="A25" s="1"/>
      <c r="B25" s="74" t="s">
        <v>813</v>
      </c>
      <c r="C25" s="75">
        <f>SUM(C24:O24)</f>
        <v>0</v>
      </c>
      <c r="D25" s="75" t="s">
        <v>814</v>
      </c>
      <c r="E25" s="75">
        <f>MOD(C25,11)</f>
        <v>0</v>
      </c>
      <c r="F25" s="75" t="s">
        <v>816</v>
      </c>
      <c r="G25" s="75">
        <f>IF(E25&lt;2,0,11-E25)</f>
        <v>0</v>
      </c>
      <c r="H25" s="75"/>
      <c r="I25" s="75"/>
      <c r="J25" s="75"/>
      <c r="K25" s="75"/>
      <c r="L25" s="77"/>
      <c r="M25" s="77"/>
      <c r="N25" s="77"/>
      <c r="O25" s="77"/>
      <c r="P25" s="7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6" x14ac:dyDescent="0.3">
      <c r="A26" s="1"/>
      <c r="B26" s="79" t="s">
        <v>817</v>
      </c>
      <c r="C26" s="14" t="b">
        <f>IF(AND(O16*1=G20,P16*1=G25),TRUE)</f>
        <v>1</v>
      </c>
      <c r="D26" s="10"/>
      <c r="E26" s="10"/>
      <c r="F26" s="10"/>
      <c r="G26" s="10"/>
      <c r="H26" s="10"/>
      <c r="I26" s="10"/>
      <c r="J26" s="10"/>
      <c r="K26" s="1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6" x14ac:dyDescent="0.3">
      <c r="A27" s="1"/>
      <c r="B27" s="10"/>
      <c r="C27" s="10"/>
      <c r="D27" s="10"/>
      <c r="E27" s="10"/>
      <c r="F27" s="10"/>
      <c r="G27" s="10"/>
      <c r="H27" s="10"/>
      <c r="I27" s="10"/>
      <c r="J27" s="1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6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6" x14ac:dyDescent="0.3">
      <c r="A29" s="1"/>
      <c r="B29" s="17" t="s">
        <v>821</v>
      </c>
      <c r="C29" s="1" t="s">
        <v>822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6" x14ac:dyDescent="0.3">
      <c r="A30" s="1"/>
      <c r="B30" s="1"/>
      <c r="C30" s="1" t="s">
        <v>823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6" x14ac:dyDescent="0.3">
      <c r="A31" s="1"/>
      <c r="B31" s="1"/>
      <c r="C31" s="1" t="s">
        <v>824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6" x14ac:dyDescent="0.3">
      <c r="A32" s="1"/>
      <c r="B32" s="1"/>
      <c r="C32" s="1" t="s">
        <v>825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6" x14ac:dyDescent="0.3">
      <c r="A33" s="1"/>
      <c r="B33" s="1"/>
      <c r="C33" s="1" t="s">
        <v>826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6" x14ac:dyDescent="0.3">
      <c r="A34" s="1"/>
      <c r="B34" s="1"/>
      <c r="C34" s="1" t="s">
        <v>827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6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6" x14ac:dyDescent="0.3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6" x14ac:dyDescent="0.3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6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6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6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6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6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6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6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6" x14ac:dyDescent="0.3">
      <c r="A45" s="1"/>
      <c r="B45" s="1077"/>
      <c r="C45" s="1078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6" x14ac:dyDescent="0.3">
      <c r="A46" s="1"/>
      <c r="B46" s="1082" t="str">
        <f>'Formulário MT'!C32</f>
        <v>1. Classificação do Atendimento</v>
      </c>
      <c r="C46" s="25" t="str">
        <f>'Formulário MT'!C34</f>
        <v>Opção de Atendimento*</v>
      </c>
      <c r="D46" s="73">
        <f>'Formulário MT'!O34</f>
        <v>0</v>
      </c>
      <c r="E46" s="18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6" x14ac:dyDescent="0.3">
      <c r="A47" s="1"/>
      <c r="B47" s="1083"/>
      <c r="C47" s="25" t="str">
        <f>'Formulário MT'!X34</f>
        <v>Finalidade:*</v>
      </c>
      <c r="D47" s="10">
        <f>'Formulário MT'!AD34</f>
        <v>0</v>
      </c>
      <c r="E47" s="18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6" x14ac:dyDescent="0.3">
      <c r="A48" s="1"/>
      <c r="B48" s="1083"/>
      <c r="C48" s="80" t="str">
        <f>'Formulário MT'!AO34</f>
        <v/>
      </c>
      <c r="D48" s="10">
        <f>'Formulário MT'!BD34</f>
        <v>0</v>
      </c>
      <c r="E48" s="18" t="b">
        <f>IF(AND(CALCULOS!D80=1,D48=0),FALSE,TRUE)</f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6" x14ac:dyDescent="0.3">
      <c r="A49" s="1"/>
      <c r="B49" s="1083"/>
      <c r="C49" s="25" t="str">
        <f>'Formulário MT'!C35</f>
        <v>Número da ART/TRT do Projeto:</v>
      </c>
      <c r="D49" s="9">
        <v>1</v>
      </c>
      <c r="E49" s="18" t="b">
        <f>IF(D49=0,FALSE,TRUE)</f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6" x14ac:dyDescent="0.3">
      <c r="A50" s="1"/>
      <c r="B50" s="1077"/>
      <c r="C50" s="1078"/>
      <c r="D50" s="85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6" x14ac:dyDescent="0.3">
      <c r="A51" s="1"/>
      <c r="B51" s="1084" t="str">
        <f>'Formulário MT'!C37</f>
        <v>2. Dados do Proprietário</v>
      </c>
      <c r="C51" s="24" t="str">
        <f>'Formulário MT'!C39</f>
        <v>Nome Completo ou Razão Social:*</v>
      </c>
      <c r="D51" s="86">
        <f>'Formulário MT'!S39</f>
        <v>0</v>
      </c>
      <c r="E51" s="26" t="b">
        <f>IF(D51=0,FALSE,TRUE)</f>
        <v>0</v>
      </c>
      <c r="F51" s="31" t="str">
        <f>IF(C13=C26=TRUE,"Ambos", IF(C13=TRUE,"CPF",IF(C26=TRUE,"CNPJ")))</f>
        <v>Ambos</v>
      </c>
      <c r="G51" s="21"/>
      <c r="H51" s="21"/>
      <c r="I51" s="21"/>
      <c r="J51" s="21"/>
      <c r="K51" s="21"/>
      <c r="L51" s="21"/>
      <c r="M51" s="21"/>
      <c r="N51" s="21"/>
      <c r="O51" s="2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6" x14ac:dyDescent="0.3">
      <c r="A52" s="1"/>
      <c r="B52" s="1085"/>
      <c r="C52" s="25" t="str">
        <f>'Formulário MT'!C40</f>
        <v>CPF/CNPJ:*</v>
      </c>
      <c r="D52" s="43">
        <f>'Formulário MT'!H40</f>
        <v>0</v>
      </c>
      <c r="E52" s="26" t="b">
        <f>IF(D52=0,FALSE,TRUE)</f>
        <v>0</v>
      </c>
      <c r="F52" s="1"/>
      <c r="G52" s="1090" t="s">
        <v>828</v>
      </c>
      <c r="H52" s="109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6" x14ac:dyDescent="0.3">
      <c r="A53" s="1"/>
      <c r="B53" s="1085"/>
      <c r="C53" s="19" t="s">
        <v>829</v>
      </c>
      <c r="D53" s="43">
        <v>1</v>
      </c>
      <c r="E53" s="26" t="b">
        <f>IF(D53=0,FALSE,TRUE)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6" x14ac:dyDescent="0.3">
      <c r="A54" s="1"/>
      <c r="B54" s="1085"/>
      <c r="C54" s="19" t="s">
        <v>830</v>
      </c>
      <c r="D54" s="43">
        <v>1</v>
      </c>
      <c r="E54" s="2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6" x14ac:dyDescent="0.3">
      <c r="A55" s="1"/>
      <c r="B55" s="1085"/>
      <c r="C55" s="19" t="s">
        <v>831</v>
      </c>
      <c r="D55" s="87">
        <v>1</v>
      </c>
      <c r="E55" s="26" t="b">
        <f>IF(AND(D55=0,$F$51="CPF"),FALSE,TRUE)</f>
        <v>1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6" x14ac:dyDescent="0.3">
      <c r="A56" s="1"/>
      <c r="B56" s="1085"/>
      <c r="C56" s="25" t="str">
        <f>'Formulário MT'!C41</f>
        <v>Telefone do cliente:*</v>
      </c>
      <c r="D56" s="88">
        <f>'Formulário MT'!O41</f>
        <v>0</v>
      </c>
      <c r="E56" s="26" t="b">
        <f t="shared" ref="E56:E75" si="8">IF(D56=0,FALSE,TRUE)</f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6" x14ac:dyDescent="0.3">
      <c r="A57" s="1"/>
      <c r="B57" s="1086"/>
      <c r="C57" s="25" t="s">
        <v>832</v>
      </c>
      <c r="D57" s="43">
        <v>1</v>
      </c>
      <c r="E57" s="26" t="b">
        <f t="shared" si="8"/>
        <v>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6" x14ac:dyDescent="0.3">
      <c r="A58" s="1"/>
      <c r="B58" s="1077"/>
      <c r="C58" s="1078"/>
      <c r="D58" s="1092"/>
      <c r="E58" s="1092"/>
      <c r="F58" s="1078"/>
      <c r="G58" s="1078"/>
      <c r="H58" s="1077"/>
      <c r="I58" s="1078"/>
      <c r="J58" s="1077"/>
      <c r="K58" s="1078"/>
      <c r="L58" s="1077"/>
      <c r="M58" s="1078"/>
      <c r="N58" s="1077"/>
      <c r="O58" s="1078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6" x14ac:dyDescent="0.3">
      <c r="A59" s="1"/>
      <c r="B59" s="1088" t="str">
        <f>'Formulário MT'!C44</f>
        <v>3. Email ou Endereço para Correspondência/Entrega da Conta</v>
      </c>
      <c r="C59" s="1" t="str">
        <f>'Formulário MT'!C46</f>
        <v>Deseja escolher uma data de Vencimento da Fatura:*</v>
      </c>
      <c r="D59" s="1">
        <f>'Formulário MT'!AD46</f>
        <v>0</v>
      </c>
      <c r="E59" s="26" t="b">
        <f t="shared" si="8"/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6" x14ac:dyDescent="0.3">
      <c r="A60" s="1"/>
      <c r="B60" s="1089"/>
      <c r="C60" s="1" t="str">
        <f>'Formulário MT'!C46</f>
        <v>Deseja escolher uma data de Vencimento da Fatura:*</v>
      </c>
      <c r="D60" s="262">
        <f>'Formulário MT'!AG46</f>
        <v>0</v>
      </c>
      <c r="E60" s="26" t="b">
        <f>IF(AND(D59="Sim",D60=0),FALSE,TRUE)</f>
        <v>1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6" x14ac:dyDescent="0.3">
      <c r="A61" s="1"/>
      <c r="B61" s="1089"/>
      <c r="C61" s="1" t="str">
        <f>'Formulário MT'!C50</f>
        <v>Rua/Av:</v>
      </c>
      <c r="D61" s="1">
        <f>'Formulário MT'!M50</f>
        <v>0</v>
      </c>
      <c r="E61" s="26" t="b">
        <f t="shared" si="8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6" x14ac:dyDescent="0.3">
      <c r="A62" s="1"/>
      <c r="B62" s="1089"/>
      <c r="C62" s="1" t="str">
        <f>'Formulário MT'!C51</f>
        <v>Bairro/Distrito:</v>
      </c>
      <c r="D62" s="1">
        <f>'Formulário MT'!M51</f>
        <v>0</v>
      </c>
      <c r="E62" s="26" t="b">
        <f t="shared" si="8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6" x14ac:dyDescent="0.3">
      <c r="A63" s="1"/>
      <c r="B63" s="1089"/>
      <c r="C63" s="1" t="str">
        <f>'Formulário MT'!C52</f>
        <v>Município:</v>
      </c>
      <c r="D63" s="1">
        <f>'Formulário MT'!M52</f>
        <v>0</v>
      </c>
      <c r="E63" s="26" t="b">
        <f t="shared" si="8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6" x14ac:dyDescent="0.3">
      <c r="A64" s="1"/>
      <c r="B64" s="1089"/>
      <c r="C64" s="1" t="str">
        <f>'Formulário MT'!AK50</f>
        <v>Nº</v>
      </c>
      <c r="D64" s="1">
        <f>'Formulário MT'!AO50</f>
        <v>0</v>
      </c>
      <c r="E64" s="26" t="b">
        <f t="shared" si="8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6" x14ac:dyDescent="0.3">
      <c r="A65" s="1"/>
      <c r="B65" s="1089"/>
      <c r="C65" s="1" t="str">
        <f>'Formulário MT'!AK51</f>
        <v>CEP:</v>
      </c>
      <c r="D65" s="1">
        <f>'Formulário MT'!AO51</f>
        <v>0</v>
      </c>
      <c r="E65" s="26" t="b">
        <f t="shared" si="8"/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6" x14ac:dyDescent="0.3">
      <c r="A66" s="1"/>
      <c r="B66" s="1089"/>
      <c r="C66" s="1" t="str">
        <f>'Formulário MT'!AK52</f>
        <v>Estado:</v>
      </c>
      <c r="D66" s="1">
        <f>'Formulário MT'!AO52</f>
        <v>0</v>
      </c>
      <c r="E66" s="26" t="b">
        <f t="shared" si="8"/>
        <v>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6" x14ac:dyDescent="0.3">
      <c r="A67" s="1"/>
      <c r="B67" s="108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6" x14ac:dyDescent="0.3">
      <c r="A68" s="1"/>
      <c r="B68" s="108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3">
      <c r="A69" s="1"/>
      <c r="B69" s="1089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6" customHeight="1" x14ac:dyDescent="0.3">
      <c r="A70" s="1"/>
      <c r="B70" s="260"/>
      <c r="C70" s="32" t="str">
        <f>'Formulário MT'!C58</f>
        <v>Atividade desenvolvida na unidade consumidora:*</v>
      </c>
      <c r="D70" s="43">
        <f>'Formulário MT'!U58</f>
        <v>0</v>
      </c>
      <c r="E70" s="26" t="b">
        <f>IF(D70=0,FALSE,TRUE)</f>
        <v>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6" x14ac:dyDescent="0.3">
      <c r="A71" s="1"/>
      <c r="B71" s="260"/>
      <c r="C71" s="34" t="str">
        <f>'Formulário MT'!AI58</f>
        <v>Ramo da Atividade:*</v>
      </c>
      <c r="D71" s="43">
        <f>'Formulário MT'!AQ58</f>
        <v>0</v>
      </c>
      <c r="E71" s="26" t="b">
        <f t="shared" si="8"/>
        <v>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6" x14ac:dyDescent="0.3">
      <c r="A72" s="1"/>
      <c r="B72" s="260"/>
      <c r="C72" s="34" t="str">
        <f>'Formulário MT'!C59</f>
        <v xml:space="preserve">CEP:* </v>
      </c>
      <c r="D72" s="89">
        <f>'Formulário MT'!F59</f>
        <v>0</v>
      </c>
      <c r="E72" s="26" t="b">
        <f t="shared" si="8"/>
        <v>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6" x14ac:dyDescent="0.3">
      <c r="A73" s="1"/>
      <c r="B73" s="260"/>
      <c r="C73" s="34" t="str">
        <f>'Formulário MT'!U59</f>
        <v>Localização:*</v>
      </c>
      <c r="D73" s="43">
        <f>'Formulário MT'!AA59</f>
        <v>0</v>
      </c>
      <c r="E73" s="26" t="b">
        <f t="shared" si="8"/>
        <v>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6" x14ac:dyDescent="0.3">
      <c r="A74" s="1"/>
      <c r="B74" s="260"/>
      <c r="C74" s="34" t="str">
        <f>'Formulário MT'!AI59</f>
        <v>Município:*</v>
      </c>
      <c r="D74" s="43">
        <f>'Formulário MT'!AQ59</f>
        <v>0</v>
      </c>
      <c r="E74" s="26" t="b">
        <f t="shared" si="8"/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6" x14ac:dyDescent="0.3">
      <c r="A75" s="1"/>
      <c r="B75" s="260"/>
      <c r="C75" s="34" t="str">
        <f>'Formulário MT'!BB59</f>
        <v>Estado:*</v>
      </c>
      <c r="D75" s="43">
        <f>'Formulário MT'!BF59</f>
        <v>0</v>
      </c>
      <c r="E75" s="26" t="b">
        <f t="shared" si="8"/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6" x14ac:dyDescent="0.3">
      <c r="A76" s="1"/>
      <c r="B76" s="260"/>
      <c r="C76" s="34" t="str">
        <f>'Formulário MT'!C61</f>
        <v>Haverá mudança do local da subestação? Se sim, informe as novas coordenadas e as antigas*:</v>
      </c>
      <c r="D76" s="43">
        <f>'Formulário MT'!Z61</f>
        <v>0</v>
      </c>
      <c r="E76" s="26" t="b">
        <f>IF(AND($D$47&lt;&gt;"Conexão Nova",D76=0),FALSE,TRUE)</f>
        <v>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6" x14ac:dyDescent="0.3">
      <c r="A77" s="1"/>
      <c r="B77" s="260"/>
      <c r="C77" s="34" t="str">
        <f>'Formulário MT'!AJ61</f>
        <v>Latitude atual:</v>
      </c>
      <c r="D77" s="43">
        <f>'Formulário MT'!AP61</f>
        <v>0</v>
      </c>
      <c r="E77" s="26" t="b">
        <f>IF(AND($D$47="Conexão Nova",D77=0),FALSE,TRUE)</f>
        <v>1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6" x14ac:dyDescent="0.3">
      <c r="A78" s="1"/>
      <c r="B78" s="260"/>
      <c r="C78" s="21" t="str">
        <f>'Formulário MT'!AW61</f>
        <v>Longitude atual:</v>
      </c>
      <c r="D78" s="43">
        <f>'Formulário MT'!BC61</f>
        <v>0</v>
      </c>
      <c r="E78" s="26" t="b">
        <f>IF(AND($D$47="Conexão Nova",D78=0),FALSE,TRUE)</f>
        <v>1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6" x14ac:dyDescent="0.3">
      <c r="A79" s="1"/>
      <c r="B79" s="260"/>
      <c r="C79" s="21" t="str">
        <f>'Formulário MT'!AJ62</f>
        <v>Latitude nova*:</v>
      </c>
      <c r="D79" s="43">
        <f>'Formulário MT'!AP62</f>
        <v>0</v>
      </c>
      <c r="E79" s="26" t="b">
        <f>IF(AND($D$47&lt;&gt;"Conexão Nova",$D$76="Sim",D79=0),FALSE,TRUE)</f>
        <v>1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6" x14ac:dyDescent="0.3">
      <c r="A80" s="1"/>
      <c r="B80" s="260"/>
      <c r="C80" s="21" t="str">
        <f>'Formulário MT'!AW62</f>
        <v>Longitude nova*:</v>
      </c>
      <c r="D80" s="43">
        <f>'Formulário MT'!BC62</f>
        <v>0</v>
      </c>
      <c r="E80" s="26" t="b">
        <f>IF(AND($D$47&lt;&gt;"Conexão Nova",$D$76="Sim",D80=0),FALSE,TRUE)</f>
        <v>1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6" x14ac:dyDescent="0.3">
      <c r="A81" s="1"/>
      <c r="B81" s="260"/>
      <c r="C81" s="317" t="str">
        <f>'Formulário MT'!J66</f>
        <v>Endereço:*</v>
      </c>
      <c r="D81" s="43">
        <f>'Formulário MT'!S66</f>
        <v>0</v>
      </c>
      <c r="E81" s="26" t="b">
        <f>IF(AND(D81=0,$D$73="Urbana"),FALSE,TRUE)</f>
        <v>1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6" x14ac:dyDescent="0.3">
      <c r="A82" s="1"/>
      <c r="B82" s="260"/>
      <c r="C82" s="317" t="str">
        <f>'Formulário MT'!AI66</f>
        <v xml:space="preserve">Nº:* </v>
      </c>
      <c r="D82" s="43">
        <f>'Formulário MT'!AK66</f>
        <v>0</v>
      </c>
      <c r="E82" s="26" t="b">
        <f>IF(AND(D82=0,$D$73="Urbana"),FALSE,TRUE)</f>
        <v>1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6" x14ac:dyDescent="0.3">
      <c r="A83" s="1"/>
      <c r="B83" s="260"/>
      <c r="C83" s="317" t="str">
        <f>'Formulário MT'!AO66</f>
        <v>Bairro:*</v>
      </c>
      <c r="D83" s="43">
        <f>'Formulário MT'!AR66</f>
        <v>0</v>
      </c>
      <c r="E83" s="26" t="b">
        <f>IF(AND(D83=0,$D$73="Urbana"),FALSE,TRUE)</f>
        <v>1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6" x14ac:dyDescent="0.3">
      <c r="A84" s="1"/>
      <c r="B84" s="260"/>
      <c r="C84" s="3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6" x14ac:dyDescent="0.3">
      <c r="A85" s="1"/>
      <c r="B85" s="260"/>
      <c r="C85" s="318" t="str">
        <f>'Formulário MT'!J68</f>
        <v>Distr./Comun./Região:*</v>
      </c>
      <c r="D85" s="43">
        <f>'Formulário MT'!S68</f>
        <v>0</v>
      </c>
      <c r="E85" s="26" t="b">
        <f>IF(AND(D85=0,$D$73="Rural"),FALSE,TRUE)</f>
        <v>1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6" x14ac:dyDescent="0.3">
      <c r="A86" s="1"/>
      <c r="B86" s="260"/>
      <c r="C86" s="318" t="str">
        <f>'Formulário MT'!AI68</f>
        <v>Nome da Propriedade:*</v>
      </c>
      <c r="D86" s="43">
        <f>'Formulário MT'!AV68</f>
        <v>0</v>
      </c>
      <c r="E86" s="26" t="b">
        <f>IF(AND(D86=0,$D$73="Rural"),FALSE,TRUE)</f>
        <v>1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6" x14ac:dyDescent="0.3">
      <c r="A87" s="1"/>
      <c r="B87" s="260"/>
      <c r="C87" s="319" t="e">
        <f>'Formulário MT'!#REF!</f>
        <v>#REF!</v>
      </c>
      <c r="D87" s="43">
        <v>1</v>
      </c>
      <c r="E87" s="26" t="b">
        <f t="shared" ref="E87:E94" si="9">IF(AND(D87=0),FALSE,TRUE)</f>
        <v>1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6" x14ac:dyDescent="0.3">
      <c r="A88" s="1"/>
      <c r="B88" s="260"/>
      <c r="C88" s="320" t="e">
        <f>'Formulário MT'!#REF!</f>
        <v>#REF!</v>
      </c>
      <c r="D88" s="37">
        <v>1</v>
      </c>
      <c r="E88" s="26" t="b">
        <f t="shared" si="9"/>
        <v>1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6" x14ac:dyDescent="0.3">
      <c r="A89" s="1"/>
      <c r="B89" s="261"/>
      <c r="C89" s="35" t="str">
        <f>'Formulário MT'!C80</f>
        <v>A subestação está pronta para ser ligada?*</v>
      </c>
      <c r="D89" s="37">
        <v>1</v>
      </c>
      <c r="E89" s="26" t="b">
        <f>IF(AND(D89=0),FALSE,TRUE)</f>
        <v>1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6" x14ac:dyDescent="0.3">
      <c r="A90" s="1"/>
      <c r="B90" s="1077"/>
      <c r="C90" s="1087"/>
      <c r="D90" s="92"/>
      <c r="E90" s="26"/>
      <c r="F90" s="1077"/>
      <c r="G90" s="1078"/>
      <c r="H90" s="1077"/>
      <c r="I90" s="1078"/>
      <c r="J90" s="1077"/>
      <c r="K90" s="1078"/>
      <c r="L90" s="1077"/>
      <c r="M90" s="1078"/>
      <c r="N90" s="1077"/>
      <c r="O90" s="1078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6" x14ac:dyDescent="0.3">
      <c r="A91" s="1"/>
      <c r="B91" s="91"/>
      <c r="C91" s="33" t="str">
        <f>'Formulário MT'!Y85</f>
        <v>Trata-se de subestação compartilhada(Multimedição)?</v>
      </c>
      <c r="D91" s="41">
        <v>1</v>
      </c>
      <c r="E91" s="26" t="b">
        <f>IF(AND(D91=0),FALSE,TRUE)</f>
        <v>1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6" x14ac:dyDescent="0.3">
      <c r="A92" s="1"/>
      <c r="B92" s="91"/>
      <c r="C92" s="33" t="str">
        <f>'Formulário MT'!C87</f>
        <v>Quantos cubículos?</v>
      </c>
      <c r="D92" s="41">
        <v>1</v>
      </c>
      <c r="E92" s="26" t="b">
        <f>IF(AND(D91="Sim",D92=0),FALSE,TRUE)</f>
        <v>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6" x14ac:dyDescent="0.3">
      <c r="A93" s="1"/>
      <c r="B93" s="1079" t="s">
        <v>833</v>
      </c>
      <c r="C93" s="33" t="str">
        <f>'Formulário MT'!C85</f>
        <v>Nível de tensão da rede de Média Tensão:*</v>
      </c>
      <c r="D93" s="41">
        <f>'Formulário MT'!S85</f>
        <v>0</v>
      </c>
      <c r="E93" s="42" t="b">
        <f t="shared" si="9"/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6" x14ac:dyDescent="0.3">
      <c r="A94" s="1"/>
      <c r="B94" s="1080"/>
      <c r="C94" s="21" t="e">
        <f>'Formulário MT'!#REF!</f>
        <v>#REF!</v>
      </c>
      <c r="D94" s="43">
        <v>1</v>
      </c>
      <c r="E94" s="44" t="b">
        <f t="shared" si="9"/>
        <v>1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6" x14ac:dyDescent="0.3">
      <c r="A95" s="1"/>
      <c r="B95" s="1080"/>
      <c r="C95" s="21"/>
      <c r="D95" s="43"/>
      <c r="E95" s="4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6" x14ac:dyDescent="0.3">
      <c r="A96" s="1"/>
      <c r="B96" s="1080"/>
      <c r="C96" s="21" t="str">
        <f>'Formulário MT'!R131</f>
        <v>Potência (Transformadores):*</v>
      </c>
      <c r="D96" s="43">
        <f>'Formulário MT'!H101</f>
        <v>0</v>
      </c>
      <c r="E96" s="44" t="b">
        <f>IF(AND(D96=0),FALSE,TRUE)</f>
        <v>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6" x14ac:dyDescent="0.3">
      <c r="A97" s="1"/>
      <c r="B97" s="1080"/>
      <c r="C97" s="21" t="str">
        <f>'Formulário MT'!R132</f>
        <v>Quantidade (Transformadores):*</v>
      </c>
      <c r="D97" s="43">
        <f>'Formulário MT'!AG132</f>
        <v>0</v>
      </c>
      <c r="E97" s="44" t="b">
        <f>IF(AND(D97=0,$D$47="Conexão Nova"),FALSE,TRUE)</f>
        <v>1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6" x14ac:dyDescent="0.3">
      <c r="A98" s="1"/>
      <c r="B98" s="1080"/>
      <c r="C98" s="21" t="str">
        <f>'Formulário MT'!AL131</f>
        <v>Tipo de Subestação:*</v>
      </c>
      <c r="D98" s="43">
        <f>'Formulário MT'!BB131</f>
        <v>0</v>
      </c>
      <c r="E98" s="44" t="b">
        <f>IF(AND(D98=0,$D$47="Conexão Nova"),FALSE,TRUE)</f>
        <v>1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6" x14ac:dyDescent="0.3">
      <c r="A99" s="1"/>
      <c r="B99" s="1080"/>
      <c r="C99" s="21" t="str">
        <f>'Formulário MT'!R134</f>
        <v>Potência (Transformadores) atual:*</v>
      </c>
      <c r="D99" s="43">
        <f>'Formulário MT'!AE134</f>
        <v>0</v>
      </c>
      <c r="E99" s="44" t="b">
        <f>IF(AND($D$47&lt;&gt;"Conexão Nova",D99=0),FALSE,TRUE)</f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6" x14ac:dyDescent="0.3">
      <c r="A100" s="1"/>
      <c r="B100" s="1080"/>
      <c r="C100" s="21" t="str">
        <f>'Formulário MT'!AJ134</f>
        <v>Qtde Atual:*</v>
      </c>
      <c r="D100" s="43">
        <f>'Formulário MT'!AO134</f>
        <v>0</v>
      </c>
      <c r="E100" s="44" t="b">
        <f>IF(AND($D$47&lt;&gt;"Conexão Nova",D100=0),FALSE,TRUE)</f>
        <v>0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6" x14ac:dyDescent="0.3">
      <c r="A101" s="1"/>
      <c r="B101" s="1080"/>
      <c r="C101" s="21" t="str">
        <f>'Formulário MT'!R135</f>
        <v>Potência (Transformadores) futura:*</v>
      </c>
      <c r="D101" s="43">
        <v>1</v>
      </c>
      <c r="E101" s="44" t="b">
        <f>IF(AND($D$47&lt;&gt;"Conexão Nova",D101=0),FALSE,TRUE)</f>
        <v>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6" x14ac:dyDescent="0.3">
      <c r="A102" s="1"/>
      <c r="B102" s="1080"/>
      <c r="C102" s="21" t="str">
        <f>'Formulário MT'!AS134</f>
        <v>Haverá troca do tipo de subestação?*</v>
      </c>
      <c r="D102" s="43">
        <f>'Formulário MT'!BH134</f>
        <v>0</v>
      </c>
      <c r="E102" s="44" t="b">
        <f>IF(AND($D$47&lt;&gt;"Conexão Nova",D102=0),FALSE,TRUE)</f>
        <v>0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6" x14ac:dyDescent="0.3">
      <c r="A103" s="1"/>
      <c r="B103" s="1080"/>
      <c r="C103" s="21" t="str">
        <f>'Formulário MT'!R136</f>
        <v>Tipo de Subestação:*</v>
      </c>
      <c r="D103" s="43">
        <f>'Formulário MT'!AP136</f>
        <v>0</v>
      </c>
      <c r="E103" s="44" t="b">
        <f>IF(AND($D$47&lt;&gt;"Conexão Nova",D103=0),FALSE,TRUE)</f>
        <v>0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6" x14ac:dyDescent="0.3">
      <c r="A104" s="1"/>
      <c r="B104" s="1080"/>
      <c r="C104" s="21" t="str">
        <f>'Formulário MT'!AM136</f>
        <v>Atual:</v>
      </c>
      <c r="D104" s="43">
        <f>'Formulário MT'!AP136</f>
        <v>0</v>
      </c>
      <c r="E104" s="26" t="b">
        <f>IF(AND($D$47="Aumento de Demanda",D104=0),FALSE,TRUE)</f>
        <v>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6" x14ac:dyDescent="0.3">
      <c r="A105" s="1"/>
      <c r="B105" s="1080"/>
      <c r="C105" s="21" t="str">
        <f>'Formulário MT'!AY136</f>
        <v/>
      </c>
      <c r="D105" s="43">
        <f>'Formulário MT'!BB136</f>
        <v>0</v>
      </c>
      <c r="E105" s="26" t="b">
        <f>IF(AND($D$47="Aumento de Demanda",D105=0,D102="Sim"),FALSE,TRUE)</f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6" x14ac:dyDescent="0.3">
      <c r="A106" s="1"/>
      <c r="B106" s="1080"/>
      <c r="C106" s="35" t="str">
        <f>'Formulário MT'!C138</f>
        <v>Trata-se de instalação faturada através de tarifa monômia?*</v>
      </c>
      <c r="D106" s="37">
        <f>'Formulário MT'!AE138</f>
        <v>0</v>
      </c>
      <c r="E106" s="26" t="b">
        <f t="shared" ref="E106" si="10">IF(D106=0,FALSE,TRUE)</f>
        <v>0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6" x14ac:dyDescent="0.3">
      <c r="A107" s="1"/>
      <c r="B107" s="1080"/>
      <c r="C107" s="21" t="str">
        <f>'Formulário MT'!C143</f>
        <v>A modalidade tarifária horária será verde ou azul?*</v>
      </c>
      <c r="D107" s="43">
        <f>'Formulário MT'!AA143</f>
        <v>0</v>
      </c>
      <c r="E107" s="26" t="b">
        <f>IF(AND(D107=0),FALSE,TRUE)</f>
        <v>0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6" x14ac:dyDescent="0.3">
      <c r="A108" s="1"/>
      <c r="B108" s="1080"/>
      <c r="C108" s="21" t="str">
        <f>'Formulário MT'!AF143</f>
        <v>Haverá demanda escalonada?:*</v>
      </c>
      <c r="D108" s="43">
        <f>'Formulário MT'!AR143</f>
        <v>0</v>
      </c>
      <c r="E108" s="26" t="b">
        <f>IF(AND(D108=0),FALSE,TRUE)</f>
        <v>0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6" x14ac:dyDescent="0.3">
      <c r="A109" s="1"/>
      <c r="B109" s="1080"/>
      <c r="C109" s="21" t="str">
        <f>'Formulário MT'!R145</f>
        <v/>
      </c>
      <c r="D109" s="43">
        <f>'Formulário MT'!AF145</f>
        <v>0</v>
      </c>
      <c r="E109" s="26" t="b">
        <f>IF(AND(D109=0),FALSE,TRUE)</f>
        <v>0</v>
      </c>
      <c r="F109" s="1" t="s">
        <v>834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6" x14ac:dyDescent="0.3">
      <c r="A110" s="1"/>
      <c r="B110" s="1080"/>
      <c r="C110" s="21" t="str">
        <f>'Formulário MT'!R147</f>
        <v/>
      </c>
      <c r="D110" s="43">
        <f>'Formulário MT'!AF147</f>
        <v>0</v>
      </c>
      <c r="E110" s="26" t="b">
        <f>IF(AND($D$107="Azul",D110=0),FALSE,TRUE)</f>
        <v>1</v>
      </c>
      <c r="F110" s="1" t="s">
        <v>835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6" x14ac:dyDescent="0.3">
      <c r="A111" s="1"/>
      <c r="B111" s="1080"/>
      <c r="C111" s="21" t="str">
        <f>'Formulário MT'!AK145</f>
        <v/>
      </c>
      <c r="D111" s="43">
        <f>'Formulário MT'!AT145</f>
        <v>0</v>
      </c>
      <c r="E111" s="26"/>
      <c r="F111" s="1" t="b">
        <f>IF(AND(OR($D$107="Azul",$D$107="Verde"),CALCULOS!$D$63=1,D111=0),FALSE,TRUE)</f>
        <v>1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6" x14ac:dyDescent="0.3">
      <c r="A112" s="1"/>
      <c r="B112" s="1080"/>
      <c r="C112" s="21" t="str">
        <f>'Formulário MT'!AK147</f>
        <v/>
      </c>
      <c r="D112" s="43">
        <f>'Formulário MT'!AT147</f>
        <v>0</v>
      </c>
      <c r="E112" s="26" t="b">
        <f>IF(AND($D$107="Azul",CALCULOS!$D$63=1,D112=0),FALSE,TRUE)</f>
        <v>1</v>
      </c>
      <c r="F112" s="1" t="s">
        <v>836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6" x14ac:dyDescent="0.3">
      <c r="A113" s="1"/>
      <c r="B113" s="1080"/>
      <c r="C113" s="21" t="str">
        <f>'Formulário MT'!C149</f>
        <v>DEMANDA ESCALONADA:*</v>
      </c>
      <c r="D113" s="274">
        <f>'Formulário MT'!Y150+'Formulário MT'!Y151+'Formulário MT'!Y152+'Formulário MT'!Y153+'Formulário MT'!AP150+'Formulário MT'!AP151+'Formulário MT'!AP152+'Formulário MT'!AP153+'Formulário MT'!BC150+'Formulário MT'!BC151+'Formulário MT'!BC152+'Formulário MT'!BC153</f>
        <v>0</v>
      </c>
      <c r="E113" s="26" t="b">
        <f>IF(AND(D108="Sim",D113=0),FALSE,TRUE)</f>
        <v>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6" x14ac:dyDescent="0.3">
      <c r="A114" s="1"/>
      <c r="B114" s="1080"/>
      <c r="C114" s="21"/>
      <c r="D114" s="43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6" x14ac:dyDescent="0.3">
      <c r="A115" s="1"/>
      <c r="B115" s="1080"/>
      <c r="C115" s="21" t="str">
        <f>'Formulário MT'!AK147</f>
        <v/>
      </c>
      <c r="D115" s="43">
        <v>1</v>
      </c>
      <c r="E115" s="26" t="b">
        <f>IF(AND(D115=0),FALSE,TRUE)</f>
        <v>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6" x14ac:dyDescent="0.3">
      <c r="A116" s="1"/>
      <c r="B116" s="1080"/>
      <c r="C116" s="28" t="str">
        <f>'Formulário MT'!C158</f>
        <v>Possui sistema de geração em regime de paralelismo momentâneo? (Gerador a diesel)*</v>
      </c>
      <c r="D116" s="90">
        <f>'Formulário MT'!AL158</f>
        <v>0</v>
      </c>
      <c r="E116" s="29" t="b">
        <f>IF(AND(D116=0),FALSE,TRUE)</f>
        <v>0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6" x14ac:dyDescent="0.3">
      <c r="A117" s="1"/>
      <c r="B117" s="1080"/>
      <c r="C117" s="21" t="str">
        <f>'Formulário MT'!AO158</f>
        <v/>
      </c>
      <c r="D117" s="43">
        <f>'Formulário MT'!BF158</f>
        <v>0</v>
      </c>
      <c r="E117" s="29" t="b">
        <f>IF(AND(D117=0,D116="Sim"),FALSE,TRUE)</f>
        <v>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6" x14ac:dyDescent="0.3">
      <c r="A118" s="1"/>
      <c r="B118" s="1080"/>
      <c r="C118" s="21" t="str">
        <f>'Formulário MT'!C160</f>
        <v>Possui sistema de geração em regime de paralelismo permanente sem injeção (GRID ZERO)?*</v>
      </c>
      <c r="D118" s="43">
        <f>'Formulário MT'!AL160</f>
        <v>0</v>
      </c>
      <c r="E118" s="26" t="b">
        <f>IF(D118=0,FALSE,TRUE)</f>
        <v>0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6" x14ac:dyDescent="0.3">
      <c r="A119" s="1"/>
      <c r="B119" s="1081"/>
      <c r="C119" t="str">
        <f>'Formulário MT'!AO160</f>
        <v/>
      </c>
      <c r="D119">
        <f>'Formulário MT'!BF160</f>
        <v>0</v>
      </c>
      <c r="E119" s="29" t="b">
        <f>IF(AND(D119=0,D118="Sim"),FALSE,TRUE)</f>
        <v>1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6" x14ac:dyDescent="0.3">
      <c r="A120" s="1"/>
      <c r="B120" s="1074" t="s">
        <v>837</v>
      </c>
      <c r="C120" s="1" t="str">
        <f>'Formulário MT'!C169</f>
        <v>Selecionar  o tipo de ramal de entrada que atende ou atenderá a unidade consumidora conforme tipo de Subestação e ND-5.3:*</v>
      </c>
      <c r="D120" s="1">
        <f>'Formulário MT'!BC169</f>
        <v>2</v>
      </c>
      <c r="E120" s="26" t="b">
        <f>IF(AND(D120=0),FALSE,TRUE)</f>
        <v>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6" x14ac:dyDescent="0.3">
      <c r="A121" s="1"/>
      <c r="B121" s="1075"/>
      <c r="C121" s="35"/>
      <c r="D121" s="36"/>
      <c r="E121" s="3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6" x14ac:dyDescent="0.3">
      <c r="A122" s="1"/>
      <c r="B122" s="1076"/>
      <c r="C122" s="21"/>
      <c r="D122" s="30"/>
      <c r="E122" s="3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6" x14ac:dyDescent="0.3">
      <c r="A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6" x14ac:dyDescent="0.3">
      <c r="A124" s="1"/>
      <c r="B124" s="20"/>
      <c r="C124" s="21"/>
      <c r="D124" s="30"/>
      <c r="E124" s="3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6" x14ac:dyDescent="0.3">
      <c r="A125" s="1"/>
      <c r="B125" s="20"/>
      <c r="C125" s="21"/>
      <c r="D125" s="30"/>
      <c r="E125" s="3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6" x14ac:dyDescent="0.3">
      <c r="A126" s="1"/>
      <c r="B126" s="20"/>
      <c r="C126" s="21"/>
      <c r="D126" s="21"/>
      <c r="E126" s="3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6" x14ac:dyDescent="0.3">
      <c r="A127" s="1"/>
      <c r="B127" s="20"/>
      <c r="C127" s="21"/>
      <c r="D127" s="39"/>
      <c r="E127" s="3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6" x14ac:dyDescent="0.3">
      <c r="A128" s="1"/>
      <c r="B128" s="20"/>
      <c r="C128" s="21"/>
      <c r="D128" s="27"/>
      <c r="E128" s="3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6" x14ac:dyDescent="0.3">
      <c r="A129" s="1"/>
      <c r="B129" s="20"/>
      <c r="C129" s="21"/>
      <c r="D129" s="21"/>
      <c r="E129" s="3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6" x14ac:dyDescent="0.3">
      <c r="A130" s="1"/>
      <c r="B130" s="20"/>
      <c r="C130" s="21"/>
      <c r="D130" s="40"/>
      <c r="E130" s="3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6" x14ac:dyDescent="0.3">
      <c r="A131" s="1"/>
      <c r="B131" s="20"/>
      <c r="C131" s="21"/>
      <c r="D131" s="21"/>
      <c r="E131" s="3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6" x14ac:dyDescent="0.3">
      <c r="A132" s="1"/>
      <c r="B132" s="20"/>
      <c r="C132" s="21"/>
      <c r="D132" s="21"/>
      <c r="E132" s="3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6" x14ac:dyDescent="0.3">
      <c r="A133" s="1"/>
      <c r="B133" s="20"/>
      <c r="C133" s="21"/>
      <c r="D133" s="21"/>
      <c r="E133" s="3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6" x14ac:dyDescent="0.3">
      <c r="A134" s="1"/>
      <c r="B134" s="20"/>
      <c r="C134" s="21"/>
      <c r="D134" s="27"/>
      <c r="E134" s="3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6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6" x14ac:dyDescent="0.3">
      <c r="A136" s="1"/>
      <c r="B136" s="1"/>
      <c r="C136" s="1" t="s">
        <v>838</v>
      </c>
      <c r="D136" s="1" t="str">
        <f>INDEX(C46:C134,MATCH(FALSE,E46:E134,0))</f>
        <v>Opção de Atendimento*</v>
      </c>
      <c r="E136" s="1" t="b">
        <f>IF(IFERROR(D136,TRUE)&lt;&gt;TRUE,FALSE,TRUE)</f>
        <v>0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6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6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6" x14ac:dyDescent="0.3">
      <c r="A139" s="1"/>
      <c r="B139" s="1"/>
      <c r="C139" s="1" t="str">
        <f>IF(AND(E136,E145),"Tudo pronto! Por favor, salve e envie o formulário como anexo de planilha eletrônica.",IF(E136=FALSE,"Opa! Parece que falta preencher o campo "&amp;D136,IF(E145=TRUE,C145,IF(E145=FALSE,C145,IF(E145=TRUE,C145,"")))))</f>
        <v>Opa! Parece que falta preencher o campo Opção de Atendimento*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6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6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6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6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6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6" x14ac:dyDescent="0.3">
      <c r="A145" s="1"/>
      <c r="B145" s="361" t="s">
        <v>1235</v>
      </c>
      <c r="C145" s="21" t="s">
        <v>1236</v>
      </c>
      <c r="D145" s="21"/>
      <c r="E145" s="31" t="b">
        <f>IF(AND('Formulário MT'!AP61&lt;&gt;"",'Formulário MT'!BC61&lt;&gt;"",'Formulário MT'!AP62&lt;&gt;"",'Formulário MT'!BC62&lt;&gt;"",
OR('Formulário MT'!AP61&lt;&gt;'Formulário MT'!AP62),OR('Formulário MT'!BC61&lt;&gt;'Formulário MT'!BC62)),TRUE,FALSE)</f>
        <v>0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6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6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6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6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6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6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6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6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6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6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6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6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6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6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6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6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6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6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6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6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6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6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6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6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6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6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6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6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6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6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6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6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6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6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6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6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6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6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6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6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6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6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6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6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6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6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6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6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6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6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6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6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6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6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6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6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6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6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6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6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6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6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6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6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6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6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6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6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6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6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6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6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6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6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6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6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6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6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6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6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6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6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6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6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6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6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6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6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6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6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6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6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6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6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6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6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6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6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6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6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6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6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6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6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6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6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6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6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6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6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6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6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6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6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6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6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6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6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6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6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6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6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6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6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6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6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6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6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6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6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6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6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6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6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6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6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6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6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6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6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6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6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6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6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6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6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6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6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6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6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6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6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6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6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6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6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6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6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6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6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6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6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6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6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6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6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6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6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6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6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6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6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6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6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6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6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6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6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6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6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6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6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6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6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6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6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6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6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6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6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6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6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6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6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6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6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6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6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6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6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6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6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6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6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6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6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6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6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6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6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6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6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6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6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6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6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6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6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6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6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6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6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6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6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6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6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6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6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6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6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6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6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6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6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6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6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6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6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6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6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6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6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6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6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6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6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6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6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6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6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6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6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6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6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6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6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6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6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6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6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6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6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6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6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6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6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6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6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6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6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6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6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6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6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6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6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6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6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6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6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6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6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6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6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6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6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6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6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6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6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6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6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6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6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6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6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6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6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6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6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6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6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6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6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6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6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6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6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6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6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6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6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6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6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6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6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6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6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6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6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6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6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6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6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6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6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6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6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6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6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6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6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6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6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6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6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6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6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6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6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6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6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6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6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6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6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6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6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6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6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6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6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6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6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6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6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6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6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6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6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6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6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6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6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6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6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6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6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6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6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6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6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6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6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6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6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6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6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6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6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6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6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6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6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6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6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6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6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6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6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6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6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6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6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6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6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6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6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6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6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6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6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6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6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6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6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6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6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6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6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6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6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6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6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6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6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6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6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6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6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6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6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6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6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6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6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6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6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6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6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6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6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6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6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6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6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6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6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6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6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6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6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6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6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6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6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6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6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6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6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6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6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6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6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6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6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6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6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6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6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6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6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6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6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6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6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6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6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6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6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6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6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6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6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6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6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6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6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6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6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6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6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6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6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6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6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6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6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6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6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6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6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6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6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6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6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6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6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6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6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6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6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6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6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6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6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6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6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6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6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6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6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6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6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6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6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6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6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6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6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6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6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6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6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6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6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6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6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6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6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6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6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6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6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6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6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6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6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6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6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6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6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6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6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6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6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6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6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6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6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6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6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6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6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6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6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6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6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6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6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6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6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6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6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6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6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6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6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6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6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6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6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6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6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6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6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6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6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6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6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6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6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6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6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6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6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6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6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6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6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6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6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6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6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6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6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6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6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6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6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6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6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6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6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6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6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6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6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6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6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6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6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6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6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6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6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6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6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6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6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6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6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6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6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6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6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6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6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6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6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6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6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6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6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6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6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6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6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6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6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6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6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6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6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6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6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6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6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6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6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6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6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6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6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6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6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6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6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6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6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6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6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6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6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6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6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6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6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6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6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6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6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6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6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6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6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6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6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6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6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6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6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6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6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6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6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6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6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6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6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6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6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6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6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6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6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6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6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6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6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6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6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6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6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6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6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6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6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6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6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6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6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6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6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6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6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6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6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6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6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6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6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6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6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6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6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6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6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6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6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6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6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6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6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6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6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6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6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6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6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6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6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6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6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6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6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6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6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6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6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6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6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6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6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6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6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6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6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6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6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6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6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6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6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6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6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6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6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6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6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6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6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6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6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6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6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6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6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6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6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6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6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6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6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6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6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6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6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6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6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6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6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6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6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6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6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6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6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6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6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6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6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6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6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6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6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6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6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6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6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6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6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6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6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6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6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6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6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6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6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6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6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6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6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6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6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6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6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6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6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6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6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6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6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6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6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6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6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6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6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6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6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6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6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6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6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6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6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6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6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6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6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6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6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6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6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6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6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6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6" x14ac:dyDescent="0.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6" x14ac:dyDescent="0.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6" x14ac:dyDescent="0.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6" x14ac:dyDescent="0.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6" x14ac:dyDescent="0.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6" x14ac:dyDescent="0.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6" x14ac:dyDescent="0.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6" x14ac:dyDescent="0.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.6" x14ac:dyDescent="0.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.6" x14ac:dyDescent="0.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5.6" x14ac:dyDescent="0.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5.6" x14ac:dyDescent="0.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5.6" x14ac:dyDescent="0.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5.6" x14ac:dyDescent="0.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5.6" x14ac:dyDescent="0.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5.6" x14ac:dyDescent="0.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5.6" x14ac:dyDescent="0.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5.6" x14ac:dyDescent="0.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5.6" x14ac:dyDescent="0.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5.6" x14ac:dyDescent="0.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5.6" x14ac:dyDescent="0.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5.6" x14ac:dyDescent="0.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5.6" x14ac:dyDescent="0.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5.6" x14ac:dyDescent="0.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5.6" x14ac:dyDescent="0.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5.6" x14ac:dyDescent="0.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5.6" x14ac:dyDescent="0.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5.6" x14ac:dyDescent="0.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5" customHeight="1" x14ac:dyDescent="0.3">
      <c r="B1034" s="1"/>
      <c r="C1034" s="1"/>
      <c r="D1034" s="1"/>
      <c r="E1034" s="1"/>
    </row>
    <row r="1035" spans="1:26" ht="15" customHeight="1" x14ac:dyDescent="0.3">
      <c r="B1035" s="1"/>
      <c r="C1035" s="1"/>
      <c r="D1035" s="1"/>
      <c r="E1035" s="1"/>
    </row>
    <row r="1036" spans="1:26" ht="15" customHeight="1" x14ac:dyDescent="0.3">
      <c r="B1036" s="1"/>
      <c r="C1036" s="1"/>
      <c r="D1036" s="1"/>
      <c r="E1036" s="1"/>
    </row>
    <row r="1037" spans="1:26" ht="15" customHeight="1" x14ac:dyDescent="0.3">
      <c r="B1037" s="1"/>
      <c r="C1037" s="1"/>
      <c r="D1037" s="1"/>
      <c r="E1037" s="1"/>
    </row>
    <row r="1038" spans="1:26" ht="15" customHeight="1" x14ac:dyDescent="0.3">
      <c r="B1038" s="1"/>
      <c r="C1038" s="1"/>
      <c r="D1038" s="1"/>
      <c r="E1038" s="1"/>
    </row>
    <row r="1039" spans="1:26" ht="15" customHeight="1" x14ac:dyDescent="0.3">
      <c r="B1039" s="1"/>
      <c r="C1039" s="1"/>
      <c r="D1039" s="1"/>
      <c r="E1039" s="1"/>
    </row>
    <row r="1040" spans="1:26" ht="15" customHeight="1" x14ac:dyDescent="0.3">
      <c r="B1040" s="1"/>
      <c r="C1040" s="1"/>
      <c r="D1040" s="1"/>
      <c r="E1040" s="1"/>
    </row>
    <row r="1041" spans="2:5" ht="15" customHeight="1" x14ac:dyDescent="0.3">
      <c r="B1041" s="1"/>
      <c r="C1041" s="1"/>
      <c r="D1041" s="1"/>
      <c r="E1041" s="1"/>
    </row>
    <row r="1042" spans="2:5" ht="15" customHeight="1" x14ac:dyDescent="0.3">
      <c r="B1042" s="1"/>
      <c r="C1042" s="1"/>
      <c r="D1042" s="1"/>
      <c r="E1042" s="1"/>
    </row>
    <row r="1043" spans="2:5" ht="15" customHeight="1" x14ac:dyDescent="0.3">
      <c r="B1043" s="1"/>
      <c r="C1043" s="1"/>
      <c r="D1043" s="1"/>
      <c r="E1043" s="1"/>
    </row>
    <row r="1044" spans="2:5" ht="15" customHeight="1" x14ac:dyDescent="0.3">
      <c r="B1044" s="1"/>
      <c r="C1044" s="1"/>
      <c r="D1044" s="1"/>
      <c r="E1044" s="1"/>
    </row>
    <row r="1045" spans="2:5" ht="15" customHeight="1" x14ac:dyDescent="0.3">
      <c r="B1045" s="1"/>
      <c r="C1045" s="1"/>
      <c r="D1045" s="1"/>
      <c r="E1045" s="1"/>
    </row>
    <row r="1046" spans="2:5" ht="15" customHeight="1" x14ac:dyDescent="0.3">
      <c r="B1046" s="1"/>
      <c r="C1046" s="1"/>
      <c r="D1046" s="1"/>
      <c r="E1046" s="1"/>
    </row>
    <row r="1047" spans="2:5" ht="15" customHeight="1" x14ac:dyDescent="0.3">
      <c r="B1047" s="1"/>
      <c r="C1047" s="1"/>
      <c r="D1047" s="1"/>
      <c r="E1047" s="1"/>
    </row>
    <row r="1048" spans="2:5" ht="15" customHeight="1" x14ac:dyDescent="0.3">
      <c r="B1048" s="1"/>
      <c r="C1048" s="1"/>
      <c r="D1048" s="1"/>
      <c r="E1048" s="1"/>
    </row>
    <row r="1049" spans="2:5" ht="15" customHeight="1" x14ac:dyDescent="0.3">
      <c r="B1049" s="1"/>
      <c r="C1049" s="1"/>
      <c r="D1049" s="1"/>
      <c r="E1049" s="1"/>
    </row>
    <row r="1050" spans="2:5" ht="15" customHeight="1" x14ac:dyDescent="0.3">
      <c r="B1050" s="1"/>
      <c r="C1050" s="1"/>
      <c r="D1050" s="1"/>
      <c r="E1050" s="1"/>
    </row>
    <row r="1051" spans="2:5" ht="15" customHeight="1" x14ac:dyDescent="0.3">
      <c r="B1051" s="1"/>
      <c r="C1051" s="1"/>
      <c r="D1051" s="1"/>
      <c r="E1051" s="1"/>
    </row>
  </sheetData>
  <sheetProtection selectLockedCells="1" selectUnlockedCells="1"/>
  <mergeCells count="21">
    <mergeCell ref="B45:C45"/>
    <mergeCell ref="B50:C50"/>
    <mergeCell ref="B58:C58"/>
    <mergeCell ref="D58:E58"/>
    <mergeCell ref="F58:G58"/>
    <mergeCell ref="N90:O90"/>
    <mergeCell ref="B93:B119"/>
    <mergeCell ref="B46:B49"/>
    <mergeCell ref="B51:B57"/>
    <mergeCell ref="B90:C90"/>
    <mergeCell ref="B59:B69"/>
    <mergeCell ref="H58:I58"/>
    <mergeCell ref="J58:K58"/>
    <mergeCell ref="L58:M58"/>
    <mergeCell ref="N58:O58"/>
    <mergeCell ref="G52:H52"/>
    <mergeCell ref="B120:B122"/>
    <mergeCell ref="F90:G90"/>
    <mergeCell ref="H90:I90"/>
    <mergeCell ref="J90:K90"/>
    <mergeCell ref="L90:M90"/>
  </mergeCells>
  <conditionalFormatting sqref="C13 E46:E49 E51:E57 E70:E83 E85:E92 E104:E122 E124:E134 E145">
    <cfRule type="cellIs" dxfId="5" priority="11" operator="equal">
      <formula>"FALSE"</formula>
    </cfRule>
    <cfRule type="cellIs" dxfId="4" priority="12" operator="equal">
      <formula>"TRUE"</formula>
    </cfRule>
  </conditionalFormatting>
  <conditionalFormatting sqref="C26">
    <cfRule type="cellIs" dxfId="3" priority="13" operator="equal">
      <formula>"FALSE"</formula>
    </cfRule>
    <cfRule type="cellIs" dxfId="2" priority="14" operator="equal">
      <formula>"TRUE"</formula>
    </cfRule>
  </conditionalFormatting>
  <conditionalFormatting sqref="E59:E66">
    <cfRule type="cellIs" dxfId="1" priority="5" operator="equal">
      <formula>"FALSE"</formula>
    </cfRule>
    <cfRule type="cellIs" dxfId="0" priority="6" operator="equal">
      <formula>"TRUE"</formula>
    </cfRule>
  </conditionalFormatting>
  <dataValidations disablePrompts="1" count="2">
    <dataValidation type="custom" allowBlank="1" showErrorMessage="1" sqref="D2" xr:uid="{00000000-0002-0000-0300-000000000000}">
      <formula1>C13=TRUE</formula1>
    </dataValidation>
    <dataValidation type="list" allowBlank="1" showErrorMessage="1" sqref="G52:H52" xr:uid="{42A3A326-B656-4386-9421-19EC29EA0CF8}">
      <formula1>"Conexão Nova,Alteração de Demanda"</formula1>
    </dataValidation>
  </dataValidations>
  <pageMargins left="0.7" right="0.7" top="0.75" bottom="0.75" header="0" footer="0"/>
  <pageSetup orientation="portrait" r:id="rId1"/>
  <headerFooter>
    <oddFooter>&amp;R_x000D_&amp;1#&amp;"Calibri"&amp;10&amp;K000000 Classificação: Direcionado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311C0-10A3-4387-9599-79B89463675B}">
  <sheetPr codeName="Planilha9"/>
  <dimension ref="A2:AJ215"/>
  <sheetViews>
    <sheetView topLeftCell="A118" workbookViewId="0">
      <selection activeCell="C129" sqref="C129"/>
    </sheetView>
  </sheetViews>
  <sheetFormatPr defaultRowHeight="14.4" x14ac:dyDescent="0.3"/>
  <cols>
    <col min="2" max="2" width="28.88671875" customWidth="1"/>
    <col min="3" max="3" width="26.5546875" customWidth="1"/>
    <col min="4" max="4" width="16.44140625" customWidth="1"/>
    <col min="5" max="5" width="14.109375" customWidth="1"/>
  </cols>
  <sheetData>
    <row r="2" spans="2:6" x14ac:dyDescent="0.3">
      <c r="B2" s="347" t="s">
        <v>839</v>
      </c>
      <c r="F2" s="204" t="str">
        <f>IF(OR('Formulário MT'!$BB$131="Subestação Nº 2",'Formulário MT'!$BB$131="Subestação Nº 4",'Formulário MT'!$BB$136="Subestação Nº 2",'Formulário MT'!$BB$136="Subestação Nº 4",),"Sim","Não")</f>
        <v>Não</v>
      </c>
    </row>
    <row r="3" spans="2:6" x14ac:dyDescent="0.3">
      <c r="B3" t="str">
        <f>'Formulário MT'!C85</f>
        <v>Nível de tensão da rede de Média Tensão:*</v>
      </c>
      <c r="F3">
        <f>'Formulário MT'!S85</f>
        <v>0</v>
      </c>
    </row>
    <row r="4" spans="2:6" x14ac:dyDescent="0.3">
      <c r="B4" s="347" t="s">
        <v>840</v>
      </c>
      <c r="F4">
        <f>IF(AND('Formulário MT'!AD34="Conexão Nova",'Formulário MT'!AA143="Verde"),'Formulário MT'!AF145,
IF(AND('Formulário MT'!AD34="Conexão Nova",'Formulário MT'!AA143="Azul"),'Formulário MT'!AF145,
IF(AND('Formulário MT'!AD34&lt;&gt;"Conexão Nova",'Formulário MT'!AA143="Verde"),'Formulário MT'!AT145,
IF(AND('Formulário MT'!AD34&lt;&gt;"Conexão Nova",'Formulário MT'!AA143="Azul"),'Formulário MT'!AT145,
))))</f>
        <v>0</v>
      </c>
    </row>
    <row r="5" spans="2:6" x14ac:dyDescent="0.3">
      <c r="B5" s="347" t="s">
        <v>106</v>
      </c>
      <c r="F5" t="e">
        <f>(F4/(SQRT(3)*F3*(92/100)))</f>
        <v>#DIV/0!</v>
      </c>
    </row>
    <row r="6" spans="2:6" x14ac:dyDescent="0.3">
      <c r="B6" s="347" t="s">
        <v>841</v>
      </c>
      <c r="F6" t="e">
        <f>F5*1.05</f>
        <v>#DIV/0!</v>
      </c>
    </row>
    <row r="7" spans="2:6" x14ac:dyDescent="0.3">
      <c r="B7" s="347" t="s">
        <v>842</v>
      </c>
      <c r="F7">
        <f>'Formulário MT'!BA96</f>
        <v>0</v>
      </c>
    </row>
    <row r="8" spans="2:6" x14ac:dyDescent="0.3">
      <c r="B8" s="347" t="s">
        <v>843</v>
      </c>
      <c r="F8">
        <f>'Formulário MT'!BA98</f>
        <v>0</v>
      </c>
    </row>
    <row r="9" spans="2:6" x14ac:dyDescent="0.3">
      <c r="B9" s="347" t="s">
        <v>844</v>
      </c>
      <c r="F9">
        <f>'Formulário MT'!BA100</f>
        <v>0</v>
      </c>
    </row>
    <row r="10" spans="2:6" x14ac:dyDescent="0.3">
      <c r="B10" s="347" t="s">
        <v>845</v>
      </c>
      <c r="F10" t="e">
        <f>(F7/((3^(1/2))*F3*(92/100)))</f>
        <v>#DIV/0!</v>
      </c>
    </row>
    <row r="11" spans="2:6" x14ac:dyDescent="0.3">
      <c r="B11" s="347" t="s">
        <v>846</v>
      </c>
      <c r="F11" t="e">
        <f>F8+F10</f>
        <v>#DIV/0!</v>
      </c>
    </row>
    <row r="12" spans="2:6" x14ac:dyDescent="0.3">
      <c r="B12" s="347" t="s">
        <v>847</v>
      </c>
      <c r="F12">
        <f>K26*1.05</f>
        <v>0</v>
      </c>
    </row>
    <row r="13" spans="2:6" x14ac:dyDescent="0.3">
      <c r="B13" s="347"/>
    </row>
    <row r="14" spans="2:6" x14ac:dyDescent="0.3">
      <c r="B14" s="347" t="s">
        <v>848</v>
      </c>
      <c r="F14" s="129" t="e">
        <f>I57</f>
        <v>#DIV/0!</v>
      </c>
    </row>
    <row r="15" spans="2:6" x14ac:dyDescent="0.3">
      <c r="B15" s="347" t="s">
        <v>849</v>
      </c>
      <c r="F15">
        <f>C47</f>
        <v>0.1</v>
      </c>
    </row>
    <row r="16" spans="2:6" ht="15" thickBot="1" x14ac:dyDescent="0.35"/>
    <row r="17" spans="2:14" ht="18" thickBot="1" x14ac:dyDescent="0.35">
      <c r="B17" s="1097" t="s">
        <v>804</v>
      </c>
      <c r="C17" s="1098"/>
      <c r="D17" s="1098"/>
      <c r="E17" s="1098"/>
      <c r="F17" s="1098"/>
      <c r="G17" s="1098"/>
      <c r="H17" s="1098"/>
      <c r="I17" s="1098"/>
      <c r="J17" s="1098"/>
      <c r="K17" s="1099"/>
      <c r="L17" s="142"/>
      <c r="M17" s="142"/>
      <c r="N17" s="142"/>
    </row>
    <row r="18" spans="2:14" ht="15" thickBot="1" x14ac:dyDescent="0.35">
      <c r="B18" s="143"/>
      <c r="C18" s="144" t="s">
        <v>850</v>
      </c>
      <c r="D18" s="144" t="s">
        <v>851</v>
      </c>
      <c r="E18" s="145" t="s">
        <v>852</v>
      </c>
      <c r="F18" s="145" t="s">
        <v>853</v>
      </c>
      <c r="G18" s="145" t="s">
        <v>854</v>
      </c>
      <c r="H18" s="146" t="s">
        <v>855</v>
      </c>
      <c r="I18" s="146" t="s">
        <v>856</v>
      </c>
      <c r="J18" s="146" t="s">
        <v>857</v>
      </c>
      <c r="K18" s="146" t="s">
        <v>858</v>
      </c>
      <c r="L18" s="142"/>
      <c r="M18" s="147"/>
      <c r="N18" s="147"/>
    </row>
    <row r="19" spans="2:14" ht="15" thickBot="1" x14ac:dyDescent="0.35">
      <c r="B19" s="148" t="s">
        <v>86</v>
      </c>
      <c r="C19" s="205">
        <f>'Formulário MT'!H94</f>
        <v>0</v>
      </c>
      <c r="D19" s="206">
        <f>'Formulário MT'!M94</f>
        <v>0</v>
      </c>
      <c r="E19" s="207">
        <v>5</v>
      </c>
      <c r="F19" s="208">
        <f>'Formulário MT'!R94</f>
        <v>0</v>
      </c>
      <c r="G19" s="209">
        <v>3</v>
      </c>
      <c r="H19" s="149">
        <f>IF(D19&gt;0,C19/(1.732*$F$3),0)</f>
        <v>0</v>
      </c>
      <c r="I19" s="150">
        <f t="shared" ref="I19:I24" si="0">H19*(100/E19)</f>
        <v>0</v>
      </c>
      <c r="J19" s="150">
        <f>I19*0.58</f>
        <v>0</v>
      </c>
      <c r="K19" s="151">
        <f t="shared" ref="K19:K25" si="1">H19*F19</f>
        <v>0</v>
      </c>
      <c r="L19" s="152">
        <f t="shared" ref="L19:L25" si="2">H19*D19</f>
        <v>0</v>
      </c>
      <c r="M19" s="153">
        <f>IF(H19&lt;&gt;0,K19+$L$26-H19,0)</f>
        <v>0</v>
      </c>
      <c r="N19" s="154"/>
    </row>
    <row r="20" spans="2:14" ht="15" thickBot="1" x14ac:dyDescent="0.35">
      <c r="B20" s="155" t="s">
        <v>87</v>
      </c>
      <c r="C20" s="205">
        <f>'Formulário MT'!H95</f>
        <v>0</v>
      </c>
      <c r="D20" s="206">
        <f>'Formulário MT'!M95</f>
        <v>0</v>
      </c>
      <c r="E20" s="207">
        <v>5</v>
      </c>
      <c r="F20" s="208">
        <f>'Formulário MT'!R95</f>
        <v>0</v>
      </c>
      <c r="G20" s="209">
        <v>3</v>
      </c>
      <c r="H20" s="149">
        <f t="shared" ref="H20:H25" si="3">IF(D20&gt;0,C20/(1.732*$F$3),0)</f>
        <v>0</v>
      </c>
      <c r="I20" s="150">
        <f t="shared" si="0"/>
        <v>0</v>
      </c>
      <c r="J20" s="150">
        <f t="shared" ref="J20:J25" si="4">I20*0.58</f>
        <v>0</v>
      </c>
      <c r="K20" s="156">
        <f t="shared" si="1"/>
        <v>0</v>
      </c>
      <c r="L20" s="152">
        <f t="shared" si="2"/>
        <v>0</v>
      </c>
      <c r="M20" s="153">
        <f t="shared" ref="M20:M25" si="5">IF(H20&lt;&gt;0,K20+$L$26-H20,0)</f>
        <v>0</v>
      </c>
      <c r="N20" s="154"/>
    </row>
    <row r="21" spans="2:14" ht="15" thickBot="1" x14ac:dyDescent="0.35">
      <c r="B21" s="155" t="s">
        <v>88</v>
      </c>
      <c r="C21" s="205">
        <f>'Formulário MT'!H96</f>
        <v>0</v>
      </c>
      <c r="D21" s="206">
        <f>'Formulário MT'!M96</f>
        <v>0</v>
      </c>
      <c r="E21" s="207">
        <v>5</v>
      </c>
      <c r="F21" s="208">
        <f>'Formulário MT'!R96</f>
        <v>0</v>
      </c>
      <c r="G21" s="209">
        <v>3</v>
      </c>
      <c r="H21" s="149">
        <f t="shared" si="3"/>
        <v>0</v>
      </c>
      <c r="I21" s="157">
        <f t="shared" si="0"/>
        <v>0</v>
      </c>
      <c r="J21" s="157">
        <f t="shared" si="4"/>
        <v>0</v>
      </c>
      <c r="K21" s="158">
        <f t="shared" si="1"/>
        <v>0</v>
      </c>
      <c r="L21" s="152">
        <f t="shared" si="2"/>
        <v>0</v>
      </c>
      <c r="M21" s="153">
        <f t="shared" si="5"/>
        <v>0</v>
      </c>
      <c r="N21" s="154"/>
    </row>
    <row r="22" spans="2:14" ht="15" thickBot="1" x14ac:dyDescent="0.35">
      <c r="B22" s="159" t="s">
        <v>90</v>
      </c>
      <c r="C22" s="205">
        <f>'Formulário MT'!H97</f>
        <v>0</v>
      </c>
      <c r="D22" s="206">
        <f>'Formulário MT'!M97</f>
        <v>0</v>
      </c>
      <c r="E22" s="207">
        <v>5</v>
      </c>
      <c r="F22" s="208">
        <f>'Formulário MT'!R97</f>
        <v>0</v>
      </c>
      <c r="G22" s="209">
        <v>3</v>
      </c>
      <c r="H22" s="149">
        <f t="shared" si="3"/>
        <v>0</v>
      </c>
      <c r="I22" s="157">
        <f t="shared" si="0"/>
        <v>0</v>
      </c>
      <c r="J22" s="157">
        <f t="shared" si="4"/>
        <v>0</v>
      </c>
      <c r="K22" s="160">
        <f t="shared" si="1"/>
        <v>0</v>
      </c>
      <c r="L22" s="152">
        <f t="shared" si="2"/>
        <v>0</v>
      </c>
      <c r="M22" s="153">
        <f t="shared" si="5"/>
        <v>0</v>
      </c>
      <c r="N22" s="154"/>
    </row>
    <row r="23" spans="2:14" ht="15" thickBot="1" x14ac:dyDescent="0.35">
      <c r="B23" s="159" t="s">
        <v>91</v>
      </c>
      <c r="C23" s="205">
        <f>'Formulário MT'!H98</f>
        <v>0</v>
      </c>
      <c r="D23" s="206">
        <f>'Formulário MT'!M98</f>
        <v>0</v>
      </c>
      <c r="E23" s="207">
        <v>5</v>
      </c>
      <c r="F23" s="208">
        <f>'Formulário MT'!R98</f>
        <v>0</v>
      </c>
      <c r="G23" s="209">
        <v>3</v>
      </c>
      <c r="H23" s="149">
        <f t="shared" si="3"/>
        <v>0</v>
      </c>
      <c r="I23" s="157">
        <f t="shared" si="0"/>
        <v>0</v>
      </c>
      <c r="J23" s="157">
        <f t="shared" si="4"/>
        <v>0</v>
      </c>
      <c r="K23" s="160">
        <f t="shared" si="1"/>
        <v>0</v>
      </c>
      <c r="L23" s="152">
        <f t="shared" si="2"/>
        <v>0</v>
      </c>
      <c r="M23" s="153">
        <f t="shared" si="5"/>
        <v>0</v>
      </c>
      <c r="N23" s="154"/>
    </row>
    <row r="24" spans="2:14" ht="15" thickBot="1" x14ac:dyDescent="0.35">
      <c r="B24" s="159" t="s">
        <v>93</v>
      </c>
      <c r="C24" s="205">
        <f>'Formulário MT'!H99</f>
        <v>0</v>
      </c>
      <c r="D24" s="206">
        <f>'Formulário MT'!M99</f>
        <v>0</v>
      </c>
      <c r="E24" s="207">
        <v>5</v>
      </c>
      <c r="F24" s="208">
        <f>'Formulário MT'!R99</f>
        <v>0</v>
      </c>
      <c r="G24" s="209">
        <v>3</v>
      </c>
      <c r="H24" s="149">
        <f t="shared" si="3"/>
        <v>0</v>
      </c>
      <c r="I24" s="157">
        <f t="shared" si="0"/>
        <v>0</v>
      </c>
      <c r="J24" s="157">
        <f t="shared" si="4"/>
        <v>0</v>
      </c>
      <c r="K24" s="160">
        <f t="shared" si="1"/>
        <v>0</v>
      </c>
      <c r="L24" s="152">
        <f t="shared" si="2"/>
        <v>0</v>
      </c>
      <c r="M24" s="153">
        <f t="shared" si="5"/>
        <v>0</v>
      </c>
      <c r="N24" s="154"/>
    </row>
    <row r="25" spans="2:14" ht="15" thickBot="1" x14ac:dyDescent="0.35">
      <c r="B25" s="161" t="s">
        <v>94</v>
      </c>
      <c r="C25" s="205">
        <f>'Formulário MT'!H100</f>
        <v>0</v>
      </c>
      <c r="D25" s="206">
        <f>'Formulário MT'!M100</f>
        <v>0</v>
      </c>
      <c r="E25" s="210">
        <v>5</v>
      </c>
      <c r="F25" s="208">
        <f>'Formulário MT'!R100</f>
        <v>0</v>
      </c>
      <c r="G25" s="211">
        <v>3</v>
      </c>
      <c r="H25" s="149">
        <f t="shared" si="3"/>
        <v>0</v>
      </c>
      <c r="I25" s="162">
        <f>H25*(100/E25)</f>
        <v>0</v>
      </c>
      <c r="J25" s="162">
        <f t="shared" si="4"/>
        <v>0</v>
      </c>
      <c r="K25" s="163">
        <f t="shared" si="1"/>
        <v>0</v>
      </c>
      <c r="L25" s="152">
        <f t="shared" si="2"/>
        <v>0</v>
      </c>
      <c r="M25" s="153">
        <f t="shared" si="5"/>
        <v>0</v>
      </c>
      <c r="N25" s="154"/>
    </row>
    <row r="26" spans="2:14" ht="18" thickBot="1" x14ac:dyDescent="0.35">
      <c r="B26" s="212" t="s">
        <v>96</v>
      </c>
      <c r="C26" s="164">
        <f>(C19*D19)+(C20*D20)+(C21*D21)+(C22*D22)+(C23*D23)+(C24*D24)+(C25*D25)</f>
        <v>0</v>
      </c>
      <c r="D26" s="165">
        <f>SUM(D19:D25)</f>
        <v>0</v>
      </c>
      <c r="E26" s="154"/>
      <c r="F26" s="166"/>
      <c r="G26" s="167"/>
      <c r="H26" s="1100" t="s">
        <v>859</v>
      </c>
      <c r="I26" s="1101"/>
      <c r="J26" s="1101"/>
      <c r="K26" s="168">
        <f>IF(D28&lt;&gt;0,D28,MAX(M19:M25))</f>
        <v>0</v>
      </c>
      <c r="L26" s="169">
        <f>SUM(L19:L25)</f>
        <v>0</v>
      </c>
      <c r="M26" s="154"/>
      <c r="N26" s="170"/>
    </row>
    <row r="27" spans="2:14" ht="15" thickBot="1" x14ac:dyDescent="0.35"/>
    <row r="28" spans="2:14" x14ac:dyDescent="0.3">
      <c r="B28" s="148" t="s">
        <v>860</v>
      </c>
      <c r="C28" s="148"/>
      <c r="D28">
        <v>0</v>
      </c>
    </row>
    <row r="30" spans="2:14" x14ac:dyDescent="0.3">
      <c r="B30" t="s">
        <v>861</v>
      </c>
    </row>
    <row r="31" spans="2:14" x14ac:dyDescent="0.3">
      <c r="K31" s="175" t="s">
        <v>862</v>
      </c>
      <c r="L31" s="139">
        <v>0.02</v>
      </c>
      <c r="M31" s="139">
        <v>0.14000000000000001</v>
      </c>
    </row>
    <row r="32" spans="2:14" ht="27" x14ac:dyDescent="0.3">
      <c r="B32" s="176" t="s">
        <v>863</v>
      </c>
      <c r="C32" s="177">
        <f>F9</f>
        <v>0</v>
      </c>
      <c r="D32" s="171"/>
      <c r="E32" s="176" t="s">
        <v>864</v>
      </c>
      <c r="F32" s="178">
        <f>IFERROR((C32*(POWER(C39,C34)-1))/C33,0)</f>
        <v>0</v>
      </c>
      <c r="K32" s="179" t="s">
        <v>865</v>
      </c>
      <c r="L32" s="180">
        <v>1</v>
      </c>
      <c r="M32" s="180">
        <v>13.5</v>
      </c>
    </row>
    <row r="33" spans="2:13" ht="15.6" x14ac:dyDescent="0.3">
      <c r="B33" s="176" t="s">
        <v>866</v>
      </c>
      <c r="C33" s="178">
        <v>80</v>
      </c>
      <c r="D33" s="171"/>
      <c r="E33" s="171"/>
      <c r="F33" s="171"/>
      <c r="K33" s="175"/>
      <c r="L33" s="139"/>
      <c r="M33" s="139"/>
    </row>
    <row r="34" spans="2:13" ht="40.200000000000003" x14ac:dyDescent="0.3">
      <c r="B34" s="176" t="s">
        <v>867</v>
      </c>
      <c r="C34" s="178">
        <v>2</v>
      </c>
      <c r="D34" s="171"/>
      <c r="E34" s="171"/>
      <c r="F34" s="171"/>
      <c r="K34" s="181" t="s">
        <v>868</v>
      </c>
      <c r="L34" s="182">
        <v>2</v>
      </c>
      <c r="M34" s="182">
        <v>80</v>
      </c>
    </row>
    <row r="35" spans="2:13" ht="15.6" x14ac:dyDescent="0.3">
      <c r="B35" s="176" t="s">
        <v>869</v>
      </c>
      <c r="C35" s="177" t="e">
        <f>F11</f>
        <v>#DIV/0!</v>
      </c>
      <c r="D35" s="171"/>
      <c r="E35" s="171"/>
      <c r="F35" s="171"/>
      <c r="K35" s="175" t="s">
        <v>870</v>
      </c>
      <c r="L35" s="139">
        <v>1</v>
      </c>
      <c r="M35" s="139">
        <v>80</v>
      </c>
    </row>
    <row r="36" spans="2:13" ht="15.6" x14ac:dyDescent="0.3">
      <c r="B36" s="176" t="s">
        <v>124</v>
      </c>
      <c r="C36" s="177" t="e">
        <f>F6</f>
        <v>#DIV/0!</v>
      </c>
      <c r="D36" s="171"/>
      <c r="E36" s="171"/>
      <c r="F36" s="171"/>
      <c r="K36" s="175" t="s">
        <v>871</v>
      </c>
      <c r="L36" s="139">
        <v>0</v>
      </c>
      <c r="M36" s="139">
        <v>1</v>
      </c>
    </row>
    <row r="37" spans="2:13" ht="15.6" x14ac:dyDescent="0.3">
      <c r="B37" s="171"/>
      <c r="C37" s="171"/>
      <c r="D37" s="171"/>
      <c r="E37" s="171"/>
      <c r="F37" s="171"/>
    </row>
    <row r="38" spans="2:13" ht="15.6" x14ac:dyDescent="0.3">
      <c r="B38" s="171"/>
      <c r="C38" s="171"/>
      <c r="D38" s="171"/>
      <c r="E38" s="171"/>
      <c r="F38" s="171"/>
    </row>
    <row r="39" spans="2:13" ht="15.6" x14ac:dyDescent="0.3">
      <c r="B39" s="183" t="s">
        <v>872</v>
      </c>
      <c r="C39" s="171" t="e">
        <f>C35/C36</f>
        <v>#DIV/0!</v>
      </c>
      <c r="D39" s="171"/>
      <c r="E39" s="171"/>
      <c r="F39" s="171"/>
    </row>
    <row r="43" spans="2:13" x14ac:dyDescent="0.3">
      <c r="B43" t="s">
        <v>873</v>
      </c>
    </row>
    <row r="45" spans="2:13" ht="15.6" x14ac:dyDescent="0.3">
      <c r="B45" s="1096" t="s">
        <v>874</v>
      </c>
      <c r="C45" s="1096"/>
      <c r="D45" s="1096"/>
      <c r="E45" s="1096"/>
      <c r="F45" s="1096"/>
    </row>
    <row r="46" spans="2:13" ht="15.6" x14ac:dyDescent="0.3">
      <c r="B46" s="171"/>
      <c r="C46" s="171"/>
      <c r="D46" s="171"/>
      <c r="E46" s="171"/>
      <c r="F46" s="171"/>
    </row>
    <row r="47" spans="2:13" ht="15.6" x14ac:dyDescent="0.3">
      <c r="B47" s="176" t="s">
        <v>863</v>
      </c>
      <c r="C47" s="178">
        <v>0.1</v>
      </c>
      <c r="D47" s="171"/>
      <c r="E47" s="176" t="s">
        <v>864</v>
      </c>
      <c r="F47" s="178" t="e">
        <f>(C47*(POWER(C54,C49)-1))/C48</f>
        <v>#DIV/0!</v>
      </c>
    </row>
    <row r="48" spans="2:13" ht="15.6" x14ac:dyDescent="0.3">
      <c r="B48" s="176" t="s">
        <v>866</v>
      </c>
      <c r="C48" s="178">
        <v>80</v>
      </c>
      <c r="D48" s="171"/>
      <c r="E48" s="171"/>
      <c r="F48" s="171"/>
    </row>
    <row r="49" spans="1:12" ht="15.6" x14ac:dyDescent="0.3">
      <c r="B49" s="176" t="s">
        <v>867</v>
      </c>
      <c r="C49" s="178">
        <v>2</v>
      </c>
      <c r="D49" s="171"/>
      <c r="E49" s="171"/>
      <c r="F49" s="171"/>
    </row>
    <row r="50" spans="1:12" ht="15.6" x14ac:dyDescent="0.3">
      <c r="B50" s="176" t="s">
        <v>869</v>
      </c>
      <c r="C50" s="177">
        <f>F12</f>
        <v>0</v>
      </c>
      <c r="D50" s="171"/>
      <c r="E50" s="171"/>
      <c r="F50" s="171"/>
    </row>
    <row r="51" spans="1:12" ht="15.6" x14ac:dyDescent="0.3">
      <c r="B51" s="176" t="s">
        <v>124</v>
      </c>
      <c r="C51" s="177" t="e">
        <f>F6</f>
        <v>#DIV/0!</v>
      </c>
      <c r="D51" s="171"/>
      <c r="E51" s="171"/>
      <c r="F51" s="171"/>
    </row>
    <row r="52" spans="1:12" ht="15.6" x14ac:dyDescent="0.3">
      <c r="B52" s="171"/>
      <c r="C52" s="171"/>
      <c r="D52" s="171"/>
      <c r="E52" s="171"/>
      <c r="F52" s="171"/>
    </row>
    <row r="53" spans="1:12" ht="15.6" x14ac:dyDescent="0.3">
      <c r="B53" s="171"/>
      <c r="C53" s="171"/>
      <c r="D53" s="171"/>
      <c r="E53" s="171"/>
      <c r="F53" s="171"/>
    </row>
    <row r="54" spans="1:12" ht="15.6" x14ac:dyDescent="0.3">
      <c r="B54" s="183" t="s">
        <v>872</v>
      </c>
      <c r="C54" s="171" t="e">
        <f>C50/C51</f>
        <v>#DIV/0!</v>
      </c>
      <c r="D54" s="171"/>
      <c r="E54" s="171"/>
      <c r="F54" s="171"/>
    </row>
    <row r="56" spans="1:12" ht="15" thickBot="1" x14ac:dyDescent="0.35"/>
    <row r="57" spans="1:12" ht="15" thickBot="1" x14ac:dyDescent="0.35">
      <c r="B57" s="184" t="s">
        <v>875</v>
      </c>
      <c r="C57" s="185"/>
      <c r="D57" s="185"/>
      <c r="E57" s="185"/>
      <c r="F57" s="185"/>
      <c r="G57" s="185"/>
      <c r="H57" s="185"/>
      <c r="I57" s="186" t="e">
        <f>IF(F47&gt;=F32,F47,F32)</f>
        <v>#DIV/0!</v>
      </c>
    </row>
    <row r="60" spans="1:12" x14ac:dyDescent="0.3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</row>
    <row r="62" spans="1:12" x14ac:dyDescent="0.3">
      <c r="B62" s="188" t="s">
        <v>876</v>
      </c>
      <c r="D62">
        <f>IF('Formulário MT'!$AD$34="Conexão Nova",1,0)</f>
        <v>0</v>
      </c>
    </row>
    <row r="63" spans="1:12" x14ac:dyDescent="0.3">
      <c r="B63" s="188" t="s">
        <v>877</v>
      </c>
      <c r="D63">
        <f>IF(AND('Formulário MT'!$AD$34&lt;&gt;"Conexão Nova",'Formulário MT'!$AD$34&lt;&gt;""),1,0)</f>
        <v>0</v>
      </c>
    </row>
    <row r="64" spans="1:12" x14ac:dyDescent="0.3">
      <c r="B64" s="188" t="s">
        <v>878</v>
      </c>
      <c r="D64">
        <f>IF('Formulário MT'!$AD$34="Aumento de Demanda",1,0)</f>
        <v>0</v>
      </c>
    </row>
    <row r="65" spans="2:36" x14ac:dyDescent="0.3">
      <c r="B65" s="188" t="s">
        <v>879</v>
      </c>
      <c r="D65">
        <f>IF('Formulário MT'!$AD$34="Redução de Demanda",1,0)</f>
        <v>0</v>
      </c>
    </row>
    <row r="66" spans="2:36" ht="21" x14ac:dyDescent="0.3">
      <c r="B66" s="188" t="s">
        <v>880</v>
      </c>
      <c r="D66">
        <f>IF(OR('Formulário MT'!$AD$34="Adequação de Subestação",'Formulário MT'!$AD$34="Aderir a Tarifa Monômia",'Formulário MT'!$AD$34="Religação de Subestação",'Formulário MT'!$AD$34="Desconexão para encerramento contratual",'Formulário MT'!$AD$34="Não haverá alteração"),1,0)</f>
        <v>0</v>
      </c>
      <c r="E66" s="174"/>
      <c r="F66" s="137"/>
      <c r="G66" s="137"/>
      <c r="H66" s="137"/>
      <c r="I66" s="137"/>
      <c r="J66" s="137"/>
      <c r="K66" s="137"/>
      <c r="L66" s="137"/>
      <c r="M66" s="137"/>
      <c r="V66" s="1093"/>
      <c r="W66" s="1094"/>
      <c r="X66" s="173"/>
      <c r="Y66" s="1095"/>
      <c r="Z66" s="1095"/>
      <c r="AA66" s="1095"/>
      <c r="AB66" s="137"/>
      <c r="AC66" s="137"/>
      <c r="AJ66" s="172"/>
    </row>
    <row r="67" spans="2:36" ht="21" x14ac:dyDescent="0.3">
      <c r="B67" s="188" t="s">
        <v>881</v>
      </c>
      <c r="D67">
        <f>IF('Formulário MT'!AA143="Verde",1,0)</f>
        <v>0</v>
      </c>
      <c r="E67" s="174"/>
      <c r="F67" s="137"/>
      <c r="G67" s="137"/>
      <c r="H67" s="137"/>
      <c r="I67" s="137"/>
      <c r="J67" s="137"/>
      <c r="K67" s="137"/>
      <c r="L67" s="137"/>
      <c r="M67" s="137"/>
      <c r="V67" s="275"/>
      <c r="W67" s="265"/>
      <c r="X67" s="173"/>
      <c r="Y67" s="266"/>
      <c r="Z67" s="266"/>
      <c r="AA67" s="266"/>
      <c r="AB67" s="137"/>
      <c r="AC67" s="137"/>
      <c r="AJ67" s="36"/>
    </row>
    <row r="68" spans="2:36" x14ac:dyDescent="0.3">
      <c r="B68" s="188" t="s">
        <v>882</v>
      </c>
      <c r="D68">
        <f>IF(AND('Formulário MT'!$AD$34="Conexão Nova",'Formulário MT'!$AA$143="Verde"),1,0)</f>
        <v>0</v>
      </c>
    </row>
    <row r="69" spans="2:36" x14ac:dyDescent="0.3">
      <c r="B69" s="188" t="s">
        <v>883</v>
      </c>
      <c r="D69">
        <f>IF(AND('Formulário MT'!$AD$34="Conexão Nova",'Formulário MT'!$AA$143="Azul"),1,0)</f>
        <v>0</v>
      </c>
      <c r="E69">
        <f>IF(D69=1,0,1)</f>
        <v>1</v>
      </c>
    </row>
    <row r="70" spans="2:36" x14ac:dyDescent="0.3">
      <c r="B70" s="188" t="s">
        <v>884</v>
      </c>
      <c r="D70">
        <f>IF(AND('Formulário MT'!$AD$34="Conexão Nova",'Formulário MT'!$AA$143="Verde",'Formulário MT'!$AR$143="Sim"),1,0)</f>
        <v>0</v>
      </c>
    </row>
    <row r="71" spans="2:36" x14ac:dyDescent="0.3">
      <c r="B71" s="188" t="s">
        <v>885</v>
      </c>
      <c r="D71">
        <f>IF(AND('Formulário MT'!$AD$34="Conexão Nova",'Formulário MT'!$AA$143="Azul",'Formulário MT'!$AR$143="Sim"),1,0)</f>
        <v>0</v>
      </c>
    </row>
    <row r="72" spans="2:36" x14ac:dyDescent="0.3">
      <c r="B72" s="188" t="s">
        <v>886</v>
      </c>
      <c r="D72">
        <f>IF(AND('Formulário MT'!$AD$34&lt;&gt;"Conexão Nova",'Formulário MT'!$AA$143="Verde"),1,0)</f>
        <v>0</v>
      </c>
    </row>
    <row r="73" spans="2:36" x14ac:dyDescent="0.3">
      <c r="B73" s="188" t="s">
        <v>887</v>
      </c>
      <c r="D73">
        <f>IF(AND('Formulário MT'!$AD$34&lt;&gt;"Conexão Nova",'Formulário MT'!$AA$143="Azul"),1,0)</f>
        <v>0</v>
      </c>
    </row>
    <row r="74" spans="2:36" x14ac:dyDescent="0.3">
      <c r="B74" s="188" t="s">
        <v>888</v>
      </c>
      <c r="D74">
        <f>IF('Formulário MT'!AR143="Sim",1,0)</f>
        <v>0</v>
      </c>
      <c r="E74">
        <f>IF(OR('Formulário MT'!$AD$34="",D74=1),0,1)</f>
        <v>0</v>
      </c>
    </row>
    <row r="75" spans="2:36" x14ac:dyDescent="0.3">
      <c r="B75" s="188" t="s">
        <v>889</v>
      </c>
      <c r="D75">
        <f>IF(AND('Formulário MT'!$AD$34="Conexão Nova",OR('Formulário MT'!$BB$131="Subestação Nº 4",'Formulário MT'!$BB$131="Subestação Nº 2")),1,0)</f>
        <v>0</v>
      </c>
    </row>
    <row r="76" spans="2:36" x14ac:dyDescent="0.3">
      <c r="B76" s="188" t="s">
        <v>890</v>
      </c>
      <c r="D76">
        <f>IF(AND('Formulário MT'!$AD$34&lt;&gt;"",'Formulário MT'!$AD$34&lt;&gt;"Conexão Nova",'Formulário MT'!$BH$134="Sim",OR('Formulário MT'!$BB$136="Subestação Nº 4",'Formulário MT'!$BB$136="Subestação Nº 2")),1,0)</f>
        <v>0</v>
      </c>
    </row>
    <row r="77" spans="2:36" x14ac:dyDescent="0.3">
      <c r="B77" s="188" t="s">
        <v>891</v>
      </c>
      <c r="D77">
        <f>IF(AND('Formulário MT'!$AD$34&lt;&gt;"Conexão Nova",'Formulário MT'!$BH$134="Não",OR('Formulário MT'!$AP$136="Subestação Nº 4",'Formulário MT'!$AP$136="Subestação Nº 2")),1,0)</f>
        <v>0</v>
      </c>
    </row>
    <row r="78" spans="2:36" x14ac:dyDescent="0.3">
      <c r="B78" s="188" t="s">
        <v>892</v>
      </c>
      <c r="D78" s="347">
        <f>IF(OR('Formulário MT'!$AD$34="",D75=1,D76=1,D77=1),0,1)</f>
        <v>0</v>
      </c>
    </row>
    <row r="80" spans="2:36" x14ac:dyDescent="0.3">
      <c r="B80" s="188" t="s">
        <v>893</v>
      </c>
      <c r="D80">
        <f>IF(OR('Formulário MT'!$AD$34="Aumento de demanda",
'Formulário MT'!$AD$34="Redução de demanda",
'Formulário MT'!$AD$34="Migração Mercado livre sem Aumento de Carga",
'Formulário MT'!$AD$34="Migração Mercado livre com Aumento de Carga",
'Formulário MT'!$AD$34="Migração Mercado livre com Redução de Carga",
'Formulário MT'!$AD$34="Adequação de Subestação",
'Formulário MT'!$AD$34="Aderir a Tarifa Monômia",
'Formulário MT'!$AD$34="Religação de Subestação",
'Formulário MT'!$AD$34="Desconexão para encerramento contratual"),1,0)</f>
        <v>0</v>
      </c>
    </row>
    <row r="81" spans="2:4" x14ac:dyDescent="0.3">
      <c r="B81" s="188" t="s">
        <v>894</v>
      </c>
      <c r="D81">
        <f>IF(AND(D63=1,'Formulário MT'!BH134="Não"),1,0)</f>
        <v>0</v>
      </c>
    </row>
    <row r="83" spans="2:4" x14ac:dyDescent="0.3">
      <c r="B83" s="188" t="s">
        <v>895</v>
      </c>
      <c r="D83">
        <f>IF(OR('Formulário MT'!AD34="Aumento de Demanda",'Formulário MT'!AD34="Redução de Demanda"),1,0)</f>
        <v>0</v>
      </c>
    </row>
    <row r="84" spans="2:4" x14ac:dyDescent="0.3">
      <c r="B84" s="188" t="s">
        <v>896</v>
      </c>
      <c r="D84">
        <f>IF('Formulário MT'!AA143="Verde",1,0)</f>
        <v>0</v>
      </c>
    </row>
    <row r="85" spans="2:4" x14ac:dyDescent="0.3">
      <c r="B85" s="188" t="s">
        <v>897</v>
      </c>
      <c r="D85">
        <f>IF('Formulário MT'!AA143="Azul",1,0)</f>
        <v>0</v>
      </c>
    </row>
    <row r="86" spans="2:4" x14ac:dyDescent="0.3">
      <c r="B86" s="188" t="s">
        <v>898</v>
      </c>
      <c r="D86">
        <f>IF(AND(D83=1,D84=1),1,0)</f>
        <v>0</v>
      </c>
    </row>
    <row r="87" spans="2:4" x14ac:dyDescent="0.3">
      <c r="B87" s="188" t="s">
        <v>899</v>
      </c>
      <c r="D87">
        <f>IF(AND(D83=1,D85=1),1,0)</f>
        <v>0</v>
      </c>
    </row>
    <row r="88" spans="2:4" x14ac:dyDescent="0.3">
      <c r="B88" s="188" t="s">
        <v>900</v>
      </c>
      <c r="D88">
        <f>IF(AND(D83=0,D84=1),1,0)</f>
        <v>0</v>
      </c>
    </row>
    <row r="89" spans="2:4" x14ac:dyDescent="0.3">
      <c r="B89" s="188" t="s">
        <v>901</v>
      </c>
      <c r="D89">
        <f>IF(AND(D83=0,D85=1),1,0)</f>
        <v>0</v>
      </c>
    </row>
    <row r="99" spans="2:6" x14ac:dyDescent="0.3">
      <c r="B99" s="188"/>
    </row>
    <row r="101" spans="2:6" ht="24" customHeight="1" x14ac:dyDescent="0.3">
      <c r="B101" s="347" t="s">
        <v>902</v>
      </c>
      <c r="D101">
        <f>IF(OR(
'Formulário MT'!U58="Agropecuária Rural Irrigação",
'Formulário MT'!U58="Aquicultura",
'Formulário MT'!U58="Irrigação",
'Formulário MT'!U58="Irrigação Noturna",
'Formulário MT'!U58="Irrigação Noturna SUDENE",
'Formulário MT'!U58="Irrigação Noturna SUDENE/IDENE",
'Formulário MT'!U58="Irrigante Noturno IDENE",
'Formulário MT'!U58="",
),1,0)</f>
        <v>1</v>
      </c>
      <c r="E101" s="339" t="s">
        <v>903</v>
      </c>
      <c r="F101" s="339" t="s">
        <v>904</v>
      </c>
    </row>
    <row r="103" spans="2:6" x14ac:dyDescent="0.3">
      <c r="B103" s="347" t="s">
        <v>905</v>
      </c>
      <c r="D103">
        <f>IF(OR(
'Formulário MT'!S47="Endereço",
'Formulário MT'!S47="Agência Correios(Caixa Postal)"),1,0)</f>
        <v>0</v>
      </c>
    </row>
    <row r="105" spans="2:6" x14ac:dyDescent="0.3">
      <c r="B105" s="347" t="s">
        <v>906</v>
      </c>
      <c r="D105">
        <f>IF('Formulário MT'!AA59="Rural",1,0)</f>
        <v>0</v>
      </c>
    </row>
    <row r="106" spans="2:6" x14ac:dyDescent="0.3">
      <c r="D106" s="347"/>
    </row>
    <row r="107" spans="2:6" x14ac:dyDescent="0.3">
      <c r="B107" t="s">
        <v>907</v>
      </c>
      <c r="D107" s="347"/>
    </row>
    <row r="108" spans="2:6" x14ac:dyDescent="0.3">
      <c r="D108" s="347"/>
    </row>
    <row r="109" spans="2:6" x14ac:dyDescent="0.3">
      <c r="B109" s="347" t="s">
        <v>908</v>
      </c>
      <c r="D109">
        <f>IF('Formulário MT'!AT85="Não",0,1)</f>
        <v>1</v>
      </c>
    </row>
    <row r="111" spans="2:6" x14ac:dyDescent="0.3">
      <c r="B111" s="347" t="s">
        <v>909</v>
      </c>
      <c r="D111">
        <f>IF('Formulário MT'!AE138="Não",0,1)</f>
        <v>1</v>
      </c>
    </row>
    <row r="113" spans="2:5" x14ac:dyDescent="0.3">
      <c r="B113" s="347" t="s">
        <v>910</v>
      </c>
      <c r="D113">
        <f>IF(AND('Formulário MT'!AE138="Sim",'Formulário MT'!H101&gt;112.5),1,0)</f>
        <v>0</v>
      </c>
    </row>
    <row r="115" spans="2:5" x14ac:dyDescent="0.3">
      <c r="B115" s="347" t="s">
        <v>911</v>
      </c>
      <c r="D115">
        <f>IF('Formulário MT'!AR143="Não",0,1)</f>
        <v>1</v>
      </c>
    </row>
    <row r="123" spans="2:5" x14ac:dyDescent="0.3">
      <c r="B123" s="347" t="s">
        <v>912</v>
      </c>
    </row>
    <row r="125" spans="2:5" x14ac:dyDescent="0.3">
      <c r="B125" s="347" t="s">
        <v>913</v>
      </c>
      <c r="C125">
        <f>'Formulário MT'!AD34</f>
        <v>0</v>
      </c>
    </row>
    <row r="126" spans="2:5" x14ac:dyDescent="0.3">
      <c r="B126" s="347" t="s">
        <v>914</v>
      </c>
      <c r="C126">
        <f>'Formulário MT'!AA59</f>
        <v>0</v>
      </c>
    </row>
    <row r="127" spans="2:5" x14ac:dyDescent="0.3">
      <c r="B127" s="347" t="s">
        <v>915</v>
      </c>
      <c r="C127">
        <f>'Formulário MT'!BH134</f>
        <v>0</v>
      </c>
    </row>
    <row r="128" spans="2:5" ht="26.4" customHeight="1" x14ac:dyDescent="0.3">
      <c r="B128" s="347"/>
      <c r="C128" s="339" t="s">
        <v>916</v>
      </c>
      <c r="D128" s="339" t="s">
        <v>917</v>
      </c>
      <c r="E128" s="339" t="s">
        <v>918</v>
      </c>
    </row>
    <row r="129" spans="2:11" ht="15" thickBot="1" x14ac:dyDescent="0.35">
      <c r="B129" s="347" t="s">
        <v>919</v>
      </c>
      <c r="C129">
        <f>'Formulário MT'!BB131</f>
        <v>0</v>
      </c>
      <c r="D129">
        <f>'Formulário MT'!BB136</f>
        <v>0</v>
      </c>
      <c r="E129">
        <f>'Formulário MT'!AP136</f>
        <v>0</v>
      </c>
    </row>
    <row r="130" spans="2:11" x14ac:dyDescent="0.3">
      <c r="C130" s="314" cm="1">
        <f t="array" ref="C130">IF(AND(C125="Conexão Nova",C126="Urbana",OR(C127=0,C127=""),OR(C129="Subestação Nº 2",C129="Subestação Nº 5")),RAMAL1,
IF(AND(C125="Conexão Nova",C126="Urbana",OR(C127=0,C127=""),OR(C129="Subestação Nº 4",C129="Subestação Nº 8")),RAMAL2,
IF(AND(C125="Conexão Nova",C126="Rural",OR(C127=0,C127=""),OR(C129="Subestação Nº 2",C129="Subestação Nº 4",C129="Subestação Nº 5",C129="Subestação Nº 8")),RAMAL3,
IF(AND(C125&lt;&gt;"Conexão Nova",C126="Urbana",C127="Sim",OR(D129="Subestação Nº 2",D129="Subestação Nº 5")),RAMAL1,
IF(AND(C125&lt;&gt;"Conexão Nova",C126="Urbana",C127="Sim",OR(D129="Subestação Nº 4",D129="Subestação Nº 8")),RAMAL2,
IF(AND(C125&lt;&gt;"Conexão Nova",C126="Rural",C127="Sim",OR(D129="Subestação Nº 2",D129="Subestação Nº 4",D129="Subestação Nº 5",D129="Subestação Nº 8")),RAMAL3,
IF(AND(C125&lt;&gt;"Conexão Nova",C126="Urbana",OR(C127="Não",C127=0),OR(E129="Subestação Nº 1",E129="Subestação Nº 6")),RAMAL4,
IF(AND(C125&lt;&gt;"Conexão Nova",C126="Urbana",OR(C127="Não",C127=0),OR(E129="Subestação Nº 2",E129="Subestação Nº 5")),RAMAL1,
IF(AND(C125&lt;&gt;"Conexão Nova",C126="Urbana",OR(C127="Não",C127=0),OR(E129="Subestação Nº 4",E129="Subestação Nº 8")),RAMAL2,
IF(AND(C125&lt;&gt;"Conexão Nova",C126="Rural",OR(C127="Não",C127=0),OR(E129="Subestação Nº 1",E129="Subestação Nº 6")),RAMAL5,
IF(AND(C125&lt;&gt;"Conexão Nova",C126="Rural",OR(C127="Não",C127=0),OR(E129="Subestação Nº 2",E129="Subestação Nº 4",E129="Subestação Nº 5",E129="Subestação Nº 8")),RAMAL3,
)))))))))))</f>
        <v>0</v>
      </c>
    </row>
    <row r="131" spans="2:11" x14ac:dyDescent="0.3">
      <c r="C131" s="315"/>
    </row>
    <row r="132" spans="2:11" x14ac:dyDescent="0.3">
      <c r="C132" s="315"/>
    </row>
    <row r="133" spans="2:11" x14ac:dyDescent="0.3">
      <c r="C133" s="315"/>
    </row>
    <row r="134" spans="2:11" x14ac:dyDescent="0.3">
      <c r="C134" s="315"/>
    </row>
    <row r="135" spans="2:11" ht="15" thickBot="1" x14ac:dyDescent="0.35">
      <c r="C135" s="316"/>
      <c r="G135" s="347" t="s">
        <v>920</v>
      </c>
    </row>
    <row r="136" spans="2:11" ht="15" thickBot="1" x14ac:dyDescent="0.35">
      <c r="G136" s="347" t="s">
        <v>921</v>
      </c>
      <c r="H136" s="347" t="s">
        <v>922</v>
      </c>
      <c r="I136" s="347" t="s">
        <v>923</v>
      </c>
      <c r="J136" s="347" t="s">
        <v>924</v>
      </c>
      <c r="K136" s="347" t="s">
        <v>925</v>
      </c>
    </row>
    <row r="137" spans="2:11" x14ac:dyDescent="0.3">
      <c r="B137" s="359" t="s">
        <v>828</v>
      </c>
      <c r="C137" s="360" t="s">
        <v>926</v>
      </c>
      <c r="D137" s="292" t="s">
        <v>808</v>
      </c>
      <c r="E137" s="297">
        <v>1</v>
      </c>
      <c r="G137" s="308">
        <v>1</v>
      </c>
      <c r="H137" s="300">
        <v>1</v>
      </c>
      <c r="I137" s="311">
        <v>9</v>
      </c>
      <c r="J137" s="305">
        <v>6</v>
      </c>
      <c r="K137" s="307">
        <v>12</v>
      </c>
    </row>
    <row r="138" spans="2:11" ht="15" thickBot="1" x14ac:dyDescent="0.35">
      <c r="B138" s="199"/>
      <c r="C138" s="36"/>
      <c r="D138" s="36"/>
      <c r="E138" s="298">
        <v>2</v>
      </c>
      <c r="G138" s="309">
        <v>2</v>
      </c>
      <c r="H138" s="301">
        <v>2</v>
      </c>
      <c r="I138" s="312">
        <v>10</v>
      </c>
      <c r="J138" s="306">
        <v>7</v>
      </c>
      <c r="K138" t="str">
        <f>""</f>
        <v/>
      </c>
    </row>
    <row r="139" spans="2:11" ht="15" thickBot="1" x14ac:dyDescent="0.35">
      <c r="B139" s="199"/>
      <c r="C139" s="36"/>
      <c r="D139" s="36"/>
      <c r="E139" s="298">
        <v>3</v>
      </c>
      <c r="G139" s="309">
        <v>3</v>
      </c>
      <c r="H139" s="301">
        <v>3</v>
      </c>
      <c r="I139" s="313">
        <v>11</v>
      </c>
      <c r="J139" t="str">
        <f>""</f>
        <v/>
      </c>
      <c r="K139" t="str">
        <f>""</f>
        <v/>
      </c>
    </row>
    <row r="140" spans="2:11" ht="15" thickBot="1" x14ac:dyDescent="0.35">
      <c r="B140" s="199"/>
      <c r="C140" s="36"/>
      <c r="D140" s="36"/>
      <c r="E140" s="298">
        <v>4</v>
      </c>
      <c r="G140" s="309">
        <v>4</v>
      </c>
      <c r="H140" s="302">
        <v>8</v>
      </c>
      <c r="I140" t="str">
        <f>""</f>
        <v/>
      </c>
      <c r="J140" t="str">
        <f>""</f>
        <v/>
      </c>
      <c r="K140" t="str">
        <f>""</f>
        <v/>
      </c>
    </row>
    <row r="141" spans="2:11" x14ac:dyDescent="0.3">
      <c r="B141" s="199"/>
      <c r="C141" s="36"/>
      <c r="D141" s="36"/>
      <c r="E141" s="298">
        <v>5</v>
      </c>
      <c r="G141" s="309">
        <v>5</v>
      </c>
      <c r="H141" t="str">
        <f>""</f>
        <v/>
      </c>
      <c r="I141" t="str">
        <f>""</f>
        <v/>
      </c>
      <c r="J141" t="str">
        <f>""</f>
        <v/>
      </c>
      <c r="K141" t="str">
        <f>""</f>
        <v/>
      </c>
    </row>
    <row r="142" spans="2:11" ht="15" thickBot="1" x14ac:dyDescent="0.35">
      <c r="B142" s="201"/>
      <c r="C142" s="202"/>
      <c r="D142" s="202"/>
      <c r="E142" s="299">
        <v>8</v>
      </c>
      <c r="G142" s="310">
        <v>8</v>
      </c>
      <c r="H142" t="str">
        <f>""</f>
        <v/>
      </c>
      <c r="I142" t="str">
        <f>""</f>
        <v/>
      </c>
      <c r="J142" t="str">
        <f>""</f>
        <v/>
      </c>
      <c r="K142" t="str">
        <f>""</f>
        <v/>
      </c>
    </row>
    <row r="143" spans="2:11" x14ac:dyDescent="0.3">
      <c r="B143" s="359" t="s">
        <v>828</v>
      </c>
      <c r="C143" s="360" t="s">
        <v>926</v>
      </c>
      <c r="D143" s="292" t="s">
        <v>927</v>
      </c>
      <c r="E143" s="300">
        <v>1</v>
      </c>
    </row>
    <row r="144" spans="2:11" x14ac:dyDescent="0.3">
      <c r="B144" s="199"/>
      <c r="C144" s="36"/>
      <c r="D144" s="36"/>
      <c r="E144" s="301">
        <v>2</v>
      </c>
    </row>
    <row r="145" spans="2:5" x14ac:dyDescent="0.3">
      <c r="B145" s="199"/>
      <c r="C145" s="36"/>
      <c r="D145" s="36"/>
      <c r="E145" s="301">
        <v>3</v>
      </c>
    </row>
    <row r="146" spans="2:5" ht="15" thickBot="1" x14ac:dyDescent="0.35">
      <c r="B146" s="201"/>
      <c r="C146" s="202"/>
      <c r="D146" s="202"/>
      <c r="E146" s="302">
        <v>8</v>
      </c>
    </row>
    <row r="147" spans="2:5" x14ac:dyDescent="0.3">
      <c r="B147" s="359" t="s">
        <v>828</v>
      </c>
      <c r="C147" s="360" t="s">
        <v>926</v>
      </c>
      <c r="D147" s="292" t="s">
        <v>928</v>
      </c>
      <c r="E147" s="297">
        <v>1</v>
      </c>
    </row>
    <row r="148" spans="2:5" x14ac:dyDescent="0.3">
      <c r="B148" s="199"/>
      <c r="C148" s="36"/>
      <c r="D148" s="36"/>
      <c r="E148" s="298">
        <v>2</v>
      </c>
    </row>
    <row r="149" spans="2:5" x14ac:dyDescent="0.3">
      <c r="B149" s="199"/>
      <c r="C149" s="36"/>
      <c r="D149" s="36"/>
      <c r="E149" s="298">
        <v>3</v>
      </c>
    </row>
    <row r="150" spans="2:5" x14ac:dyDescent="0.3">
      <c r="B150" s="199"/>
      <c r="C150" s="36"/>
      <c r="D150" s="36"/>
      <c r="E150" s="298">
        <v>4</v>
      </c>
    </row>
    <row r="151" spans="2:5" x14ac:dyDescent="0.3">
      <c r="B151" s="199"/>
      <c r="C151" s="36"/>
      <c r="D151" s="36"/>
      <c r="E151" s="298">
        <v>5</v>
      </c>
    </row>
    <row r="152" spans="2:5" ht="15" thickBot="1" x14ac:dyDescent="0.35">
      <c r="B152" s="201"/>
      <c r="C152" s="202"/>
      <c r="D152" s="202"/>
      <c r="E152" s="299">
        <v>8</v>
      </c>
    </row>
    <row r="153" spans="2:5" x14ac:dyDescent="0.3">
      <c r="B153" s="359" t="s">
        <v>828</v>
      </c>
      <c r="C153" s="360" t="s">
        <v>926</v>
      </c>
      <c r="D153" s="292" t="s">
        <v>929</v>
      </c>
      <c r="E153" s="300">
        <v>1</v>
      </c>
    </row>
    <row r="154" spans="2:5" x14ac:dyDescent="0.3">
      <c r="B154" s="199"/>
      <c r="C154" s="36"/>
      <c r="D154" s="36"/>
      <c r="E154" s="301">
        <v>2</v>
      </c>
    </row>
    <row r="155" spans="2:5" x14ac:dyDescent="0.3">
      <c r="B155" s="199"/>
      <c r="C155" s="36"/>
      <c r="D155" s="36"/>
      <c r="E155" s="301">
        <v>3</v>
      </c>
    </row>
    <row r="156" spans="2:5" ht="15" thickBot="1" x14ac:dyDescent="0.35">
      <c r="B156" s="201"/>
      <c r="C156" s="202"/>
      <c r="D156" s="202"/>
      <c r="E156" s="302">
        <v>8</v>
      </c>
    </row>
    <row r="157" spans="2:5" x14ac:dyDescent="0.3">
      <c r="B157" s="359" t="s">
        <v>828</v>
      </c>
      <c r="C157" s="360" t="s">
        <v>930</v>
      </c>
      <c r="D157" s="292" t="s">
        <v>808</v>
      </c>
      <c r="E157" s="303">
        <v>9</v>
      </c>
    </row>
    <row r="158" spans="2:5" x14ac:dyDescent="0.3">
      <c r="B158" s="199"/>
      <c r="C158" s="36"/>
      <c r="D158" s="291" t="s">
        <v>927</v>
      </c>
      <c r="E158" s="304">
        <v>10</v>
      </c>
    </row>
    <row r="159" spans="2:5" x14ac:dyDescent="0.3">
      <c r="B159" s="199"/>
      <c r="C159" s="36"/>
      <c r="D159" s="291" t="s">
        <v>928</v>
      </c>
      <c r="E159" s="304">
        <v>11</v>
      </c>
    </row>
    <row r="160" spans="2:5" ht="15" thickBot="1" x14ac:dyDescent="0.35">
      <c r="B160" s="201"/>
      <c r="C160" s="202"/>
      <c r="D160" s="293" t="s">
        <v>929</v>
      </c>
      <c r="E160" s="203"/>
    </row>
    <row r="161" spans="2:5" ht="15" thickBot="1" x14ac:dyDescent="0.35"/>
    <row r="162" spans="2:5" x14ac:dyDescent="0.3">
      <c r="B162" s="359" t="s">
        <v>931</v>
      </c>
      <c r="C162" s="360" t="s">
        <v>926</v>
      </c>
      <c r="D162" s="292" t="s">
        <v>808</v>
      </c>
      <c r="E162" s="297">
        <v>1</v>
      </c>
    </row>
    <row r="163" spans="2:5" x14ac:dyDescent="0.3">
      <c r="B163" s="199"/>
      <c r="C163" s="36"/>
      <c r="D163" s="36"/>
      <c r="E163" s="298">
        <v>2</v>
      </c>
    </row>
    <row r="164" spans="2:5" x14ac:dyDescent="0.3">
      <c r="B164" s="199"/>
      <c r="C164" s="36"/>
      <c r="D164" s="36"/>
      <c r="E164" s="298">
        <v>3</v>
      </c>
    </row>
    <row r="165" spans="2:5" x14ac:dyDescent="0.3">
      <c r="B165" s="199"/>
      <c r="C165" s="36"/>
      <c r="D165" s="36"/>
      <c r="E165" s="298">
        <v>4</v>
      </c>
    </row>
    <row r="166" spans="2:5" x14ac:dyDescent="0.3">
      <c r="B166" s="199"/>
      <c r="C166" s="36"/>
      <c r="D166" s="36"/>
      <c r="E166" s="298">
        <v>5</v>
      </c>
    </row>
    <row r="167" spans="2:5" ht="15" thickBot="1" x14ac:dyDescent="0.35">
      <c r="B167" s="201"/>
      <c r="C167" s="202"/>
      <c r="D167" s="202"/>
      <c r="E167" s="299">
        <v>8</v>
      </c>
    </row>
    <row r="168" spans="2:5" x14ac:dyDescent="0.3">
      <c r="B168" s="359" t="s">
        <v>931</v>
      </c>
      <c r="C168" s="360" t="s">
        <v>926</v>
      </c>
      <c r="D168" s="292" t="s">
        <v>927</v>
      </c>
      <c r="E168" s="300">
        <v>1</v>
      </c>
    </row>
    <row r="169" spans="2:5" x14ac:dyDescent="0.3">
      <c r="B169" s="199"/>
      <c r="C169" s="36"/>
      <c r="D169" s="36"/>
      <c r="E169" s="301">
        <v>2</v>
      </c>
    </row>
    <row r="170" spans="2:5" x14ac:dyDescent="0.3">
      <c r="B170" s="199"/>
      <c r="C170" s="36"/>
      <c r="D170" s="36"/>
      <c r="E170" s="301">
        <v>3</v>
      </c>
    </row>
    <row r="171" spans="2:5" ht="15" thickBot="1" x14ac:dyDescent="0.35">
      <c r="B171" s="201"/>
      <c r="C171" s="202"/>
      <c r="D171" s="202"/>
      <c r="E171" s="302">
        <v>8</v>
      </c>
    </row>
    <row r="172" spans="2:5" x14ac:dyDescent="0.3">
      <c r="B172" s="359" t="s">
        <v>931</v>
      </c>
      <c r="C172" s="360" t="s">
        <v>926</v>
      </c>
      <c r="D172" s="292" t="s">
        <v>928</v>
      </c>
      <c r="E172" s="297">
        <v>1</v>
      </c>
    </row>
    <row r="173" spans="2:5" x14ac:dyDescent="0.3">
      <c r="B173" s="199"/>
      <c r="C173" s="36"/>
      <c r="D173" s="36"/>
      <c r="E173" s="298">
        <v>2</v>
      </c>
    </row>
    <row r="174" spans="2:5" x14ac:dyDescent="0.3">
      <c r="B174" s="199"/>
      <c r="C174" s="36"/>
      <c r="D174" s="36"/>
      <c r="E174" s="298">
        <v>3</v>
      </c>
    </row>
    <row r="175" spans="2:5" x14ac:dyDescent="0.3">
      <c r="B175" s="199"/>
      <c r="C175" s="36"/>
      <c r="D175" s="36"/>
      <c r="E175" s="298">
        <v>4</v>
      </c>
    </row>
    <row r="176" spans="2:5" x14ac:dyDescent="0.3">
      <c r="B176" s="199"/>
      <c r="C176" s="36"/>
      <c r="D176" s="36"/>
      <c r="E176" s="298">
        <v>5</v>
      </c>
    </row>
    <row r="177" spans="2:5" ht="15" thickBot="1" x14ac:dyDescent="0.35">
      <c r="B177" s="201"/>
      <c r="C177" s="202"/>
      <c r="D177" s="202"/>
      <c r="E177" s="299">
        <v>8</v>
      </c>
    </row>
    <row r="178" spans="2:5" x14ac:dyDescent="0.3">
      <c r="B178" s="359" t="s">
        <v>931</v>
      </c>
      <c r="C178" s="360" t="s">
        <v>926</v>
      </c>
      <c r="D178" s="292" t="s">
        <v>929</v>
      </c>
      <c r="E178" s="300">
        <v>1</v>
      </c>
    </row>
    <row r="179" spans="2:5" x14ac:dyDescent="0.3">
      <c r="B179" s="199"/>
      <c r="C179" s="36"/>
      <c r="D179" s="36"/>
      <c r="E179" s="301">
        <v>2</v>
      </c>
    </row>
    <row r="180" spans="2:5" x14ac:dyDescent="0.3">
      <c r="B180" s="199"/>
      <c r="C180" s="36"/>
      <c r="D180" s="36"/>
      <c r="E180" s="301">
        <v>3</v>
      </c>
    </row>
    <row r="181" spans="2:5" ht="15" thickBot="1" x14ac:dyDescent="0.35">
      <c r="B181" s="201"/>
      <c r="C181" s="202"/>
      <c r="D181" s="202"/>
      <c r="E181" s="302">
        <v>8</v>
      </c>
    </row>
    <row r="182" spans="2:5" x14ac:dyDescent="0.3">
      <c r="B182" s="359" t="s">
        <v>931</v>
      </c>
      <c r="C182" s="360" t="s">
        <v>930</v>
      </c>
      <c r="D182" s="292" t="s">
        <v>808</v>
      </c>
      <c r="E182" s="303">
        <v>9</v>
      </c>
    </row>
    <row r="183" spans="2:5" x14ac:dyDescent="0.3">
      <c r="B183" s="199"/>
      <c r="C183" s="36"/>
      <c r="D183" s="291" t="s">
        <v>927</v>
      </c>
      <c r="E183" s="304">
        <v>10</v>
      </c>
    </row>
    <row r="184" spans="2:5" x14ac:dyDescent="0.3">
      <c r="B184" s="199"/>
      <c r="C184" s="36"/>
      <c r="D184" s="291" t="s">
        <v>928</v>
      </c>
      <c r="E184" s="304">
        <v>11</v>
      </c>
    </row>
    <row r="185" spans="2:5" ht="15" thickBot="1" x14ac:dyDescent="0.35">
      <c r="B185" s="201"/>
      <c r="C185" s="202"/>
      <c r="D185" s="293" t="s">
        <v>929</v>
      </c>
      <c r="E185" s="203"/>
    </row>
    <row r="186" spans="2:5" ht="15" thickBot="1" x14ac:dyDescent="0.35"/>
    <row r="187" spans="2:5" x14ac:dyDescent="0.3">
      <c r="B187" s="359" t="s">
        <v>932</v>
      </c>
      <c r="C187" s="360" t="s">
        <v>926</v>
      </c>
      <c r="D187" s="294" t="s">
        <v>933</v>
      </c>
      <c r="E187" s="305">
        <v>6</v>
      </c>
    </row>
    <row r="188" spans="2:5" ht="15" thickBot="1" x14ac:dyDescent="0.35">
      <c r="B188" s="201"/>
      <c r="C188" s="202"/>
      <c r="D188" s="295" t="s">
        <v>934</v>
      </c>
      <c r="E188" s="306">
        <v>7</v>
      </c>
    </row>
    <row r="189" spans="2:5" x14ac:dyDescent="0.3">
      <c r="B189" s="194"/>
      <c r="C189" s="195"/>
      <c r="D189" s="294" t="s">
        <v>808</v>
      </c>
      <c r="E189" s="297">
        <v>1</v>
      </c>
    </row>
    <row r="190" spans="2:5" x14ac:dyDescent="0.3">
      <c r="B190" s="199"/>
      <c r="C190" s="36"/>
      <c r="D190" s="36"/>
      <c r="E190" s="298">
        <v>2</v>
      </c>
    </row>
    <row r="191" spans="2:5" x14ac:dyDescent="0.3">
      <c r="B191" s="199"/>
      <c r="C191" s="36"/>
      <c r="D191" s="36"/>
      <c r="E191" s="298">
        <v>3</v>
      </c>
    </row>
    <row r="192" spans="2:5" x14ac:dyDescent="0.3">
      <c r="B192" s="199"/>
      <c r="C192" s="36"/>
      <c r="D192" s="36"/>
      <c r="E192" s="298">
        <v>4</v>
      </c>
    </row>
    <row r="193" spans="2:5" x14ac:dyDescent="0.3">
      <c r="B193" s="199"/>
      <c r="C193" s="36"/>
      <c r="D193" s="36"/>
      <c r="E193" s="298">
        <v>5</v>
      </c>
    </row>
    <row r="194" spans="2:5" ht="15" thickBot="1" x14ac:dyDescent="0.35">
      <c r="B194" s="201"/>
      <c r="C194" s="202"/>
      <c r="D194" s="202"/>
      <c r="E194" s="299">
        <v>8</v>
      </c>
    </row>
    <row r="195" spans="2:5" x14ac:dyDescent="0.3">
      <c r="B195" s="359" t="s">
        <v>932</v>
      </c>
      <c r="C195" s="360" t="s">
        <v>926</v>
      </c>
      <c r="D195" s="294" t="s">
        <v>927</v>
      </c>
      <c r="E195" s="300">
        <v>1</v>
      </c>
    </row>
    <row r="196" spans="2:5" x14ac:dyDescent="0.3">
      <c r="B196" s="199"/>
      <c r="C196" s="36"/>
      <c r="D196" s="36"/>
      <c r="E196" s="301">
        <v>2</v>
      </c>
    </row>
    <row r="197" spans="2:5" x14ac:dyDescent="0.3">
      <c r="B197" s="199"/>
      <c r="C197" s="36"/>
      <c r="D197" s="36"/>
      <c r="E197" s="301">
        <v>3</v>
      </c>
    </row>
    <row r="198" spans="2:5" ht="15" thickBot="1" x14ac:dyDescent="0.35">
      <c r="B198" s="201"/>
      <c r="C198" s="202"/>
      <c r="D198" s="202"/>
      <c r="E198" s="302">
        <v>8</v>
      </c>
    </row>
    <row r="199" spans="2:5" x14ac:dyDescent="0.3">
      <c r="B199" s="359" t="s">
        <v>932</v>
      </c>
      <c r="C199" s="360" t="s">
        <v>926</v>
      </c>
      <c r="D199" s="294" t="s">
        <v>928</v>
      </c>
      <c r="E199" s="297">
        <v>1</v>
      </c>
    </row>
    <row r="200" spans="2:5" x14ac:dyDescent="0.3">
      <c r="B200" s="199"/>
      <c r="C200" s="36"/>
      <c r="D200" s="36"/>
      <c r="E200" s="298">
        <v>2</v>
      </c>
    </row>
    <row r="201" spans="2:5" x14ac:dyDescent="0.3">
      <c r="B201" s="199"/>
      <c r="C201" s="36"/>
      <c r="D201" s="36"/>
      <c r="E201" s="298">
        <v>3</v>
      </c>
    </row>
    <row r="202" spans="2:5" x14ac:dyDescent="0.3">
      <c r="B202" s="199"/>
      <c r="C202" s="36"/>
      <c r="D202" s="36"/>
      <c r="E202" s="298">
        <v>4</v>
      </c>
    </row>
    <row r="203" spans="2:5" x14ac:dyDescent="0.3">
      <c r="B203" s="199"/>
      <c r="C203" s="36"/>
      <c r="D203" s="36"/>
      <c r="E203" s="298">
        <v>5</v>
      </c>
    </row>
    <row r="204" spans="2:5" ht="15" thickBot="1" x14ac:dyDescent="0.35">
      <c r="B204" s="201"/>
      <c r="C204" s="202"/>
      <c r="D204" s="295"/>
      <c r="E204" s="299">
        <v>8</v>
      </c>
    </row>
    <row r="205" spans="2:5" x14ac:dyDescent="0.3">
      <c r="B205" s="359" t="s">
        <v>932</v>
      </c>
      <c r="C205" s="360" t="s">
        <v>926</v>
      </c>
      <c r="D205" s="294" t="s">
        <v>929</v>
      </c>
      <c r="E205" s="300">
        <v>1</v>
      </c>
    </row>
    <row r="206" spans="2:5" x14ac:dyDescent="0.3">
      <c r="B206" s="199"/>
      <c r="C206" s="36"/>
      <c r="D206" s="296"/>
      <c r="E206" s="301">
        <v>2</v>
      </c>
    </row>
    <row r="207" spans="2:5" x14ac:dyDescent="0.3">
      <c r="B207" s="199"/>
      <c r="C207" s="36"/>
      <c r="D207" s="296"/>
      <c r="E207" s="301">
        <v>3</v>
      </c>
    </row>
    <row r="208" spans="2:5" ht="15" thickBot="1" x14ac:dyDescent="0.35">
      <c r="B208" s="201"/>
      <c r="C208" s="202"/>
      <c r="D208" s="295"/>
      <c r="E208" s="302">
        <v>8</v>
      </c>
    </row>
    <row r="209" spans="2:5" ht="15" thickBot="1" x14ac:dyDescent="0.35">
      <c r="D209" s="2"/>
    </row>
    <row r="210" spans="2:5" x14ac:dyDescent="0.3">
      <c r="B210" s="359" t="s">
        <v>932</v>
      </c>
      <c r="C210" s="360" t="s">
        <v>935</v>
      </c>
      <c r="D210" s="294" t="s">
        <v>933</v>
      </c>
      <c r="E210" s="307">
        <v>12</v>
      </c>
    </row>
    <row r="211" spans="2:5" ht="15" thickBot="1" x14ac:dyDescent="0.35">
      <c r="B211" s="201"/>
      <c r="C211" s="202"/>
      <c r="D211" s="295" t="s">
        <v>934</v>
      </c>
      <c r="E211" s="203"/>
    </row>
    <row r="212" spans="2:5" x14ac:dyDescent="0.3">
      <c r="B212" s="359" t="s">
        <v>932</v>
      </c>
      <c r="C212" s="360" t="s">
        <v>935</v>
      </c>
      <c r="D212" s="292" t="s">
        <v>808</v>
      </c>
      <c r="E212" s="303">
        <v>9</v>
      </c>
    </row>
    <row r="213" spans="2:5" x14ac:dyDescent="0.3">
      <c r="B213" s="199"/>
      <c r="C213" s="36"/>
      <c r="D213" s="291" t="s">
        <v>927</v>
      </c>
      <c r="E213" s="304">
        <v>10</v>
      </c>
    </row>
    <row r="214" spans="2:5" x14ac:dyDescent="0.3">
      <c r="B214" s="199"/>
      <c r="C214" s="36"/>
      <c r="D214" s="291" t="s">
        <v>928</v>
      </c>
      <c r="E214" s="304">
        <v>11</v>
      </c>
    </row>
    <row r="215" spans="2:5" ht="15" thickBot="1" x14ac:dyDescent="0.35">
      <c r="B215" s="201"/>
      <c r="C215" s="202"/>
      <c r="D215" s="293" t="s">
        <v>929</v>
      </c>
      <c r="E215" s="203"/>
    </row>
  </sheetData>
  <sheetProtection selectLockedCells="1" selectUnlockedCells="1"/>
  <mergeCells count="5">
    <mergeCell ref="V66:W66"/>
    <mergeCell ref="Y66:AA66"/>
    <mergeCell ref="B45:F45"/>
    <mergeCell ref="B17:K17"/>
    <mergeCell ref="H26:J26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ignoredErrors>
    <ignoredError sqref="F21" unlockedFormula="1"/>
  </ignoredErrors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3767C-D5EC-4691-892B-2ECE50265987}">
  <sheetPr codeName="Planilha2"/>
  <dimension ref="B2:G62"/>
  <sheetViews>
    <sheetView showGridLines="0" workbookViewId="0"/>
  </sheetViews>
  <sheetFormatPr defaultRowHeight="14.4" x14ac:dyDescent="0.3"/>
  <cols>
    <col min="2" max="2" width="45.6640625" customWidth="1"/>
    <col min="3" max="3" width="15.109375" customWidth="1"/>
    <col min="4" max="4" width="10.6640625"/>
    <col min="5" max="5" width="13.109375" customWidth="1"/>
    <col min="6" max="6" width="13.44140625" customWidth="1"/>
    <col min="7" max="7" width="14.5546875" customWidth="1"/>
  </cols>
  <sheetData>
    <row r="2" spans="2:7" ht="18" x14ac:dyDescent="0.35">
      <c r="B2" s="45" t="s">
        <v>936</v>
      </c>
      <c r="C2" s="46"/>
      <c r="D2" s="46"/>
      <c r="E2" s="46"/>
      <c r="F2" s="46"/>
      <c r="G2" s="46"/>
    </row>
    <row r="3" spans="2:7" ht="18" x14ac:dyDescent="0.35">
      <c r="B3" s="47"/>
      <c r="C3" s="46"/>
      <c r="D3" s="46"/>
      <c r="E3" s="46"/>
      <c r="F3" s="46"/>
      <c r="G3" s="46"/>
    </row>
    <row r="4" spans="2:7" ht="15.6" x14ac:dyDescent="0.3">
      <c r="B4" s="1112" t="s">
        <v>937</v>
      </c>
      <c r="C4" s="1113"/>
      <c r="D4" s="1113"/>
      <c r="E4" s="1113"/>
      <c r="F4" s="1113"/>
      <c r="G4" s="1114"/>
    </row>
    <row r="5" spans="2:7" ht="15.6" x14ac:dyDescent="0.3">
      <c r="B5" s="1115" t="s">
        <v>938</v>
      </c>
      <c r="C5" s="1116"/>
      <c r="D5" s="1117" t="s">
        <v>939</v>
      </c>
      <c r="E5" s="1119" t="s">
        <v>940</v>
      </c>
      <c r="F5" s="1117" t="s">
        <v>941</v>
      </c>
      <c r="G5" s="1117" t="s">
        <v>942</v>
      </c>
    </row>
    <row r="6" spans="2:7" ht="31.2" x14ac:dyDescent="0.3">
      <c r="B6" s="64" t="s">
        <v>943</v>
      </c>
      <c r="C6" s="64" t="s">
        <v>944</v>
      </c>
      <c r="D6" s="1118"/>
      <c r="E6" s="1120"/>
      <c r="F6" s="1118"/>
      <c r="G6" s="1118"/>
    </row>
    <row r="7" spans="2:7" ht="15.6" x14ac:dyDescent="0.3">
      <c r="B7" s="48" t="s">
        <v>945</v>
      </c>
      <c r="C7" s="49">
        <v>0.39</v>
      </c>
      <c r="D7" s="49">
        <v>0.62</v>
      </c>
      <c r="E7" s="50">
        <v>0.5</v>
      </c>
      <c r="F7" s="49">
        <v>0.43</v>
      </c>
      <c r="G7" s="49">
        <v>0.37</v>
      </c>
    </row>
    <row r="8" spans="2:7" ht="15.6" x14ac:dyDescent="0.3">
      <c r="B8" s="48" t="s">
        <v>946</v>
      </c>
      <c r="C8" s="49">
        <v>0.52</v>
      </c>
      <c r="D8" s="49">
        <v>0.73</v>
      </c>
      <c r="E8" s="49">
        <v>0.57999999999999996</v>
      </c>
      <c r="F8" s="49">
        <v>0.51</v>
      </c>
      <c r="G8" s="49">
        <v>0.44</v>
      </c>
    </row>
    <row r="9" spans="2:7" ht="15.6" x14ac:dyDescent="0.3">
      <c r="B9" s="48" t="s">
        <v>947</v>
      </c>
      <c r="C9" s="49">
        <v>0.66</v>
      </c>
      <c r="D9" s="49">
        <v>0.92</v>
      </c>
      <c r="E9" s="49">
        <v>0.74</v>
      </c>
      <c r="F9" s="49">
        <v>0.64</v>
      </c>
      <c r="G9" s="49">
        <v>0.55000000000000004</v>
      </c>
    </row>
    <row r="10" spans="2:7" ht="15.6" x14ac:dyDescent="0.3">
      <c r="B10" s="48" t="s">
        <v>948</v>
      </c>
      <c r="C10" s="49">
        <v>0.89</v>
      </c>
      <c r="D10" s="49">
        <v>1.24</v>
      </c>
      <c r="E10" s="49">
        <v>0.99</v>
      </c>
      <c r="F10" s="49">
        <v>0.87</v>
      </c>
      <c r="G10" s="49">
        <v>0.74</v>
      </c>
    </row>
    <row r="11" spans="2:7" ht="15.6" x14ac:dyDescent="0.3">
      <c r="B11" s="48" t="s">
        <v>949</v>
      </c>
      <c r="C11" s="50">
        <v>1.1000000000000001</v>
      </c>
      <c r="D11" s="49">
        <v>1.49</v>
      </c>
      <c r="E11" s="49">
        <v>1.19</v>
      </c>
      <c r="F11" s="49">
        <v>1.04</v>
      </c>
      <c r="G11" s="49">
        <v>0.89</v>
      </c>
    </row>
    <row r="12" spans="2:7" ht="15.6" x14ac:dyDescent="0.3">
      <c r="B12" s="48" t="s">
        <v>950</v>
      </c>
      <c r="C12" s="49">
        <v>1.58</v>
      </c>
      <c r="D12" s="49">
        <v>1.93</v>
      </c>
      <c r="E12" s="49">
        <v>1.54</v>
      </c>
      <c r="F12" s="49">
        <v>1.35</v>
      </c>
      <c r="G12" s="49">
        <v>1.1599999999999999</v>
      </c>
    </row>
    <row r="13" spans="2:7" ht="15.6" x14ac:dyDescent="0.3">
      <c r="B13" s="48" t="s">
        <v>951</v>
      </c>
      <c r="C13" s="49">
        <v>2.0699999999999998</v>
      </c>
      <c r="D13" s="50">
        <v>2.44</v>
      </c>
      <c r="E13" s="49">
        <v>1.95</v>
      </c>
      <c r="F13" s="49">
        <v>1.71</v>
      </c>
      <c r="G13" s="49">
        <v>1.46</v>
      </c>
    </row>
    <row r="14" spans="2:7" ht="15.6" x14ac:dyDescent="0.3">
      <c r="B14" s="48" t="s">
        <v>952</v>
      </c>
      <c r="C14" s="49">
        <v>3.07</v>
      </c>
      <c r="D14" s="50">
        <v>3.2</v>
      </c>
      <c r="E14" s="49">
        <v>2.56</v>
      </c>
      <c r="F14" s="49">
        <v>2.2400000000000002</v>
      </c>
      <c r="G14" s="49">
        <v>1.92</v>
      </c>
    </row>
    <row r="15" spans="2:7" ht="15.6" x14ac:dyDescent="0.3">
      <c r="B15" s="48" t="s">
        <v>953</v>
      </c>
      <c r="C15" s="49">
        <v>3.98</v>
      </c>
      <c r="D15" s="49">
        <v>4.1500000000000004</v>
      </c>
      <c r="E15" s="49">
        <v>3.32</v>
      </c>
      <c r="F15" s="49">
        <v>2.91</v>
      </c>
      <c r="G15" s="49">
        <v>2.4900000000000002</v>
      </c>
    </row>
    <row r="16" spans="2:7" ht="15.6" x14ac:dyDescent="0.3">
      <c r="B16" s="48" t="s">
        <v>954</v>
      </c>
      <c r="C16" s="49">
        <v>4.91</v>
      </c>
      <c r="D16" s="49">
        <v>5.22</v>
      </c>
      <c r="E16" s="49">
        <v>4.18</v>
      </c>
      <c r="F16" s="49">
        <v>3.65</v>
      </c>
      <c r="G16" s="49">
        <v>3.13</v>
      </c>
    </row>
    <row r="17" spans="2:7" ht="15.6" x14ac:dyDescent="0.3">
      <c r="B17" s="48" t="s">
        <v>955</v>
      </c>
      <c r="C17" s="49">
        <v>7.46</v>
      </c>
      <c r="D17" s="49">
        <v>7.94</v>
      </c>
      <c r="E17" s="49">
        <v>6.35</v>
      </c>
      <c r="F17" s="49">
        <v>5.56</v>
      </c>
      <c r="G17" s="49">
        <v>4.76</v>
      </c>
    </row>
    <row r="18" spans="2:7" ht="15.6" x14ac:dyDescent="0.3">
      <c r="B18" s="48" t="s">
        <v>956</v>
      </c>
      <c r="C18" s="49">
        <v>9.44</v>
      </c>
      <c r="D18" s="49">
        <v>10.039999999999999</v>
      </c>
      <c r="E18" s="49">
        <v>8.0299999999999994</v>
      </c>
      <c r="F18" s="49">
        <v>7.03</v>
      </c>
      <c r="G18" s="49">
        <v>6.02</v>
      </c>
    </row>
    <row r="19" spans="2:7" ht="15.6" x14ac:dyDescent="0.3">
      <c r="B19" s="48" t="s">
        <v>957</v>
      </c>
      <c r="C19" s="50">
        <v>12.1</v>
      </c>
      <c r="D19" s="49">
        <v>13.01</v>
      </c>
      <c r="E19" s="49">
        <v>10.41</v>
      </c>
      <c r="F19" s="49">
        <v>9.11</v>
      </c>
      <c r="G19" s="49">
        <v>7.81</v>
      </c>
    </row>
    <row r="20" spans="2:7" ht="15.6" x14ac:dyDescent="0.3">
      <c r="B20" s="51"/>
      <c r="C20" s="51"/>
      <c r="D20" s="51"/>
      <c r="E20" s="51"/>
      <c r="F20" s="51"/>
      <c r="G20" s="51"/>
    </row>
    <row r="21" spans="2:7" ht="15.6" x14ac:dyDescent="0.3">
      <c r="B21" s="51"/>
      <c r="C21" s="51"/>
      <c r="D21" s="51"/>
      <c r="E21" s="51"/>
      <c r="F21" s="51"/>
      <c r="G21" s="51"/>
    </row>
    <row r="22" spans="2:7" ht="17.399999999999999" x14ac:dyDescent="0.3">
      <c r="B22" s="45" t="s">
        <v>958</v>
      </c>
      <c r="C22" s="51"/>
      <c r="D22" s="51"/>
      <c r="E22" s="51"/>
      <c r="F22" s="51"/>
      <c r="G22" s="51"/>
    </row>
    <row r="23" spans="2:7" ht="15.6" x14ac:dyDescent="0.3">
      <c r="B23" s="51"/>
      <c r="C23" s="51"/>
      <c r="D23" s="51"/>
      <c r="E23" s="51"/>
      <c r="F23" s="51"/>
      <c r="G23" s="51"/>
    </row>
    <row r="24" spans="2:7" ht="15.6" x14ac:dyDescent="0.3">
      <c r="B24" s="1102" t="s">
        <v>959</v>
      </c>
      <c r="C24" s="1103"/>
      <c r="D24" s="1103"/>
      <c r="E24" s="1103"/>
      <c r="F24" s="1103"/>
      <c r="G24" s="1104"/>
    </row>
    <row r="25" spans="2:7" ht="15.6" x14ac:dyDescent="0.3">
      <c r="B25" s="1105" t="s">
        <v>938</v>
      </c>
      <c r="C25" s="1106"/>
      <c r="D25" s="1107" t="s">
        <v>960</v>
      </c>
      <c r="E25" s="1108"/>
      <c r="F25" s="1108"/>
      <c r="G25" s="1109"/>
    </row>
    <row r="26" spans="2:7" ht="31.2" x14ac:dyDescent="0.3">
      <c r="B26" s="65" t="s">
        <v>943</v>
      </c>
      <c r="C26" s="65" t="s">
        <v>961</v>
      </c>
      <c r="D26" s="64" t="s">
        <v>939</v>
      </c>
      <c r="E26" s="65" t="s">
        <v>962</v>
      </c>
      <c r="F26" s="65" t="s">
        <v>941</v>
      </c>
      <c r="G26" s="65" t="s">
        <v>942</v>
      </c>
    </row>
    <row r="27" spans="2:7" x14ac:dyDescent="0.3">
      <c r="B27" s="52" t="s">
        <v>963</v>
      </c>
      <c r="C27" s="53">
        <v>0.25</v>
      </c>
      <c r="D27" s="53">
        <v>0.37</v>
      </c>
      <c r="E27" s="54">
        <v>0.3</v>
      </c>
      <c r="F27" s="53">
        <v>0.26</v>
      </c>
      <c r="G27" s="53">
        <v>0.22</v>
      </c>
    </row>
    <row r="28" spans="2:7" x14ac:dyDescent="0.3">
      <c r="B28" s="52" t="s">
        <v>945</v>
      </c>
      <c r="C28" s="53">
        <v>0.33</v>
      </c>
      <c r="D28" s="53">
        <v>0.48</v>
      </c>
      <c r="E28" s="53">
        <v>0.38</v>
      </c>
      <c r="F28" s="53">
        <v>0.34</v>
      </c>
      <c r="G28" s="53">
        <v>0.28999999999999998</v>
      </c>
    </row>
    <row r="29" spans="2:7" x14ac:dyDescent="0.3">
      <c r="B29" s="52" t="s">
        <v>946</v>
      </c>
      <c r="C29" s="53">
        <v>0.41</v>
      </c>
      <c r="D29" s="55">
        <v>0.56000000000000005</v>
      </c>
      <c r="E29" s="53">
        <v>0.45</v>
      </c>
      <c r="F29" s="53">
        <v>0.39</v>
      </c>
      <c r="G29" s="53">
        <v>0.34</v>
      </c>
    </row>
    <row r="30" spans="2:7" x14ac:dyDescent="0.3">
      <c r="B30" s="52" t="s">
        <v>947</v>
      </c>
      <c r="C30" s="53">
        <v>0.56999999999999995</v>
      </c>
      <c r="D30" s="55">
        <v>0.72</v>
      </c>
      <c r="E30" s="53">
        <v>0.57999999999999996</v>
      </c>
      <c r="F30" s="54">
        <v>0.5</v>
      </c>
      <c r="G30" s="53">
        <v>0.43</v>
      </c>
    </row>
    <row r="31" spans="2:7" x14ac:dyDescent="0.3">
      <c r="B31" s="56" t="s">
        <v>948</v>
      </c>
      <c r="C31" s="53">
        <v>0.82</v>
      </c>
      <c r="D31" s="53">
        <v>1.08</v>
      </c>
      <c r="E31" s="53">
        <v>0.86</v>
      </c>
      <c r="F31" s="53">
        <v>0.76</v>
      </c>
      <c r="G31" s="53">
        <v>0.65</v>
      </c>
    </row>
    <row r="32" spans="2:7" x14ac:dyDescent="0.3">
      <c r="B32" s="56" t="s">
        <v>949</v>
      </c>
      <c r="C32" s="53">
        <v>1.1299999999999999</v>
      </c>
      <c r="D32" s="55">
        <v>1.38</v>
      </c>
      <c r="E32" s="54">
        <v>1.1000000000000001</v>
      </c>
      <c r="F32" s="53">
        <v>0.97</v>
      </c>
      <c r="G32" s="53">
        <v>0.83</v>
      </c>
    </row>
    <row r="33" spans="2:7" x14ac:dyDescent="0.3">
      <c r="B33" s="56" t="s">
        <v>950</v>
      </c>
      <c r="C33" s="53">
        <v>1.58</v>
      </c>
      <c r="D33" s="55">
        <v>2.0299999999999998</v>
      </c>
      <c r="E33" s="53">
        <v>1.62</v>
      </c>
      <c r="F33" s="53">
        <v>1.42</v>
      </c>
      <c r="G33" s="53">
        <v>1.22</v>
      </c>
    </row>
    <row r="34" spans="2:7" x14ac:dyDescent="0.3">
      <c r="B34" s="56" t="s">
        <v>951</v>
      </c>
      <c r="C34" s="53">
        <v>1.94</v>
      </c>
      <c r="D34" s="57">
        <v>2.4</v>
      </c>
      <c r="E34" s="53">
        <v>1.92</v>
      </c>
      <c r="F34" s="53">
        <v>1.68</v>
      </c>
      <c r="G34" s="53">
        <v>1.44</v>
      </c>
    </row>
    <row r="35" spans="2:7" x14ac:dyDescent="0.3">
      <c r="B35" s="56" t="s">
        <v>952</v>
      </c>
      <c r="C35" s="53">
        <v>2.91</v>
      </c>
      <c r="D35" s="55">
        <v>3.64</v>
      </c>
      <c r="E35" s="53">
        <v>2.91</v>
      </c>
      <c r="F35" s="53">
        <v>2.5499999999999998</v>
      </c>
      <c r="G35" s="53">
        <v>2.1800000000000002</v>
      </c>
    </row>
    <row r="36" spans="2:7" x14ac:dyDescent="0.3">
      <c r="B36" s="56" t="s">
        <v>953</v>
      </c>
      <c r="C36" s="53">
        <v>3.82</v>
      </c>
      <c r="D36" s="55">
        <v>4.96</v>
      </c>
      <c r="E36" s="53">
        <v>3.97</v>
      </c>
      <c r="F36" s="53">
        <v>3.47</v>
      </c>
      <c r="G36" s="53">
        <v>2.98</v>
      </c>
    </row>
    <row r="37" spans="2:7" x14ac:dyDescent="0.3">
      <c r="B37" s="56" t="s">
        <v>954</v>
      </c>
      <c r="C37" s="53">
        <v>4.78</v>
      </c>
      <c r="D37" s="55">
        <v>5.62</v>
      </c>
      <c r="E37" s="54">
        <v>4.5</v>
      </c>
      <c r="F37" s="53">
        <v>3.93</v>
      </c>
      <c r="G37" s="53">
        <v>3.37</v>
      </c>
    </row>
    <row r="38" spans="2:7" x14ac:dyDescent="0.3">
      <c r="B38" s="58" t="s">
        <v>964</v>
      </c>
      <c r="C38" s="53">
        <v>5.45</v>
      </c>
      <c r="D38" s="55">
        <v>6.49</v>
      </c>
      <c r="E38" s="53">
        <v>5.19</v>
      </c>
      <c r="F38" s="53">
        <v>4.54</v>
      </c>
      <c r="G38" s="53">
        <v>3.89</v>
      </c>
    </row>
    <row r="39" spans="2:7" x14ac:dyDescent="0.3">
      <c r="B39" s="58" t="s">
        <v>955</v>
      </c>
      <c r="C39" s="54">
        <v>6.9</v>
      </c>
      <c r="D39" s="55">
        <v>8.1199999999999992</v>
      </c>
      <c r="E39" s="54">
        <v>6.5</v>
      </c>
      <c r="F39" s="53">
        <v>5.68</v>
      </c>
      <c r="G39" s="53">
        <v>4.87</v>
      </c>
    </row>
    <row r="40" spans="2:7" x14ac:dyDescent="0.3">
      <c r="B40" s="56" t="s">
        <v>956</v>
      </c>
      <c r="C40" s="53">
        <v>9.68</v>
      </c>
      <c r="D40" s="55">
        <v>10.76</v>
      </c>
      <c r="E40" s="53">
        <v>8.61</v>
      </c>
      <c r="F40" s="53">
        <v>7.53</v>
      </c>
      <c r="G40" s="53">
        <v>6.46</v>
      </c>
    </row>
    <row r="41" spans="2:7" x14ac:dyDescent="0.3">
      <c r="B41" s="56" t="s">
        <v>957</v>
      </c>
      <c r="C41" s="53">
        <v>11.79</v>
      </c>
      <c r="D41" s="55">
        <v>13.25</v>
      </c>
      <c r="E41" s="54">
        <v>10.6</v>
      </c>
      <c r="F41" s="53">
        <v>9.2799999999999994</v>
      </c>
      <c r="G41" s="53">
        <v>7.95</v>
      </c>
    </row>
    <row r="42" spans="2:7" x14ac:dyDescent="0.3">
      <c r="B42" s="58" t="s">
        <v>965</v>
      </c>
      <c r="C42" s="53">
        <v>13.63</v>
      </c>
      <c r="D42" s="53">
        <v>14.98</v>
      </c>
      <c r="E42" s="53">
        <v>11.98</v>
      </c>
      <c r="F42" s="53">
        <v>10.49</v>
      </c>
      <c r="G42" s="54">
        <v>8.99</v>
      </c>
    </row>
    <row r="43" spans="2:7" x14ac:dyDescent="0.3">
      <c r="B43" s="58" t="s">
        <v>966</v>
      </c>
      <c r="C43" s="54">
        <v>18.399999999999999</v>
      </c>
      <c r="D43" s="53">
        <v>20.67</v>
      </c>
      <c r="E43" s="53">
        <v>16.54</v>
      </c>
      <c r="F43" s="53">
        <v>14.47</v>
      </c>
      <c r="G43" s="54">
        <v>12.4</v>
      </c>
    </row>
    <row r="44" spans="2:7" x14ac:dyDescent="0.3">
      <c r="B44" s="58" t="s">
        <v>967</v>
      </c>
      <c r="C44" s="53">
        <v>22.44</v>
      </c>
      <c r="D44" s="53">
        <v>24.66</v>
      </c>
      <c r="E44" s="53">
        <v>19.73</v>
      </c>
      <c r="F44" s="53">
        <v>17.260000000000002</v>
      </c>
      <c r="G44" s="54">
        <v>14.8</v>
      </c>
    </row>
    <row r="45" spans="2:7" x14ac:dyDescent="0.3">
      <c r="B45" s="58" t="s">
        <v>968</v>
      </c>
      <c r="C45" s="53">
        <v>26.93</v>
      </c>
      <c r="D45" s="53">
        <v>29.59</v>
      </c>
      <c r="E45" s="53">
        <v>23.67</v>
      </c>
      <c r="F45" s="53">
        <v>20.71</v>
      </c>
      <c r="G45" s="53">
        <v>17.760000000000002</v>
      </c>
    </row>
    <row r="46" spans="2:7" x14ac:dyDescent="0.3">
      <c r="B46" s="58" t="s">
        <v>969</v>
      </c>
      <c r="C46" s="53">
        <v>44.34</v>
      </c>
      <c r="D46" s="53">
        <v>49.27</v>
      </c>
      <c r="E46" s="53">
        <v>23.67</v>
      </c>
      <c r="F46" s="53">
        <v>20.71</v>
      </c>
      <c r="G46" s="53">
        <v>17.760000000000002</v>
      </c>
    </row>
    <row r="47" spans="2:7" x14ac:dyDescent="0.3">
      <c r="B47" s="58" t="s">
        <v>970</v>
      </c>
      <c r="C47" s="53">
        <v>51.35</v>
      </c>
      <c r="D47" s="54">
        <v>57.7</v>
      </c>
      <c r="E47" s="53">
        <v>23.67</v>
      </c>
      <c r="F47" s="53">
        <v>20.71</v>
      </c>
      <c r="G47" s="53">
        <v>17.760000000000002</v>
      </c>
    </row>
    <row r="48" spans="2:7" x14ac:dyDescent="0.3">
      <c r="B48" s="58" t="s">
        <v>971</v>
      </c>
      <c r="C48" s="53">
        <v>62.73</v>
      </c>
      <c r="D48" s="53">
        <v>70.48</v>
      </c>
      <c r="E48" s="53">
        <v>23.67</v>
      </c>
      <c r="F48" s="53">
        <v>20.71</v>
      </c>
      <c r="G48" s="53">
        <v>17.760000000000002</v>
      </c>
    </row>
    <row r="49" spans="2:7" ht="18" x14ac:dyDescent="0.35">
      <c r="B49" s="59"/>
      <c r="C49" s="46"/>
      <c r="D49" s="46"/>
      <c r="E49" s="46"/>
      <c r="F49" s="46"/>
      <c r="G49" s="46"/>
    </row>
    <row r="50" spans="2:7" ht="18" x14ac:dyDescent="0.35">
      <c r="B50" s="59"/>
      <c r="C50" s="46"/>
      <c r="D50" s="46"/>
      <c r="E50" s="46"/>
      <c r="F50" s="46"/>
      <c r="G50" s="46"/>
    </row>
    <row r="51" spans="2:7" ht="18" x14ac:dyDescent="0.35">
      <c r="B51" s="45" t="s">
        <v>972</v>
      </c>
      <c r="C51" s="46"/>
      <c r="D51" s="46"/>
      <c r="E51" s="46"/>
      <c r="F51" s="46"/>
      <c r="G51" s="46"/>
    </row>
    <row r="52" spans="2:7" ht="18" x14ac:dyDescent="0.35">
      <c r="B52" s="60"/>
      <c r="C52" s="46"/>
      <c r="D52" s="46"/>
      <c r="E52" s="46"/>
      <c r="F52" s="46"/>
      <c r="G52" s="46"/>
    </row>
    <row r="53" spans="2:7" ht="17.399999999999999" x14ac:dyDescent="0.3">
      <c r="B53" s="1110" t="s">
        <v>973</v>
      </c>
      <c r="C53" s="1110"/>
      <c r="D53" s="1110"/>
      <c r="E53" s="1110"/>
      <c r="F53" s="61"/>
      <c r="G53" s="61"/>
    </row>
    <row r="54" spans="2:7" ht="18" x14ac:dyDescent="0.3">
      <c r="B54" s="1111" t="s">
        <v>974</v>
      </c>
      <c r="C54" s="1111"/>
      <c r="D54" s="1111"/>
      <c r="E54" s="1111"/>
      <c r="F54" s="62"/>
      <c r="G54" s="62"/>
    </row>
    <row r="55" spans="2:7" ht="15.6" x14ac:dyDescent="0.3">
      <c r="B55" s="66" t="s">
        <v>975</v>
      </c>
      <c r="C55" s="66" t="s">
        <v>976</v>
      </c>
      <c r="D55" s="66" t="s">
        <v>977</v>
      </c>
      <c r="E55" s="66" t="s">
        <v>978</v>
      </c>
      <c r="F55" s="51"/>
      <c r="G55" s="51"/>
    </row>
    <row r="56" spans="2:7" ht="15.6" x14ac:dyDescent="0.3">
      <c r="B56" s="63">
        <v>8500</v>
      </c>
      <c r="C56" s="63">
        <v>2125</v>
      </c>
      <c r="D56" s="63">
        <v>1.3</v>
      </c>
      <c r="E56" s="63">
        <v>1.55</v>
      </c>
      <c r="F56" s="51"/>
      <c r="G56" s="51"/>
    </row>
    <row r="57" spans="2:7" ht="15.6" x14ac:dyDescent="0.3">
      <c r="B57" s="63">
        <v>10000</v>
      </c>
      <c r="C57" s="63">
        <v>2500</v>
      </c>
      <c r="D57" s="63">
        <v>1.4</v>
      </c>
      <c r="E57" s="63">
        <v>1.65</v>
      </c>
      <c r="F57" s="51"/>
      <c r="G57" s="51"/>
    </row>
    <row r="58" spans="2:7" ht="15.6" x14ac:dyDescent="0.3">
      <c r="B58" s="63">
        <v>12000</v>
      </c>
      <c r="C58" s="63">
        <v>3000</v>
      </c>
      <c r="D58" s="63">
        <v>1.6</v>
      </c>
      <c r="E58" s="63">
        <v>1.9</v>
      </c>
      <c r="F58" s="51"/>
      <c r="G58" s="51"/>
    </row>
    <row r="59" spans="2:7" ht="15.6" x14ac:dyDescent="0.3">
      <c r="B59" s="63">
        <v>14000</v>
      </c>
      <c r="C59" s="63">
        <v>3500</v>
      </c>
      <c r="D59" s="63">
        <v>1.9</v>
      </c>
      <c r="E59" s="63">
        <v>2.1</v>
      </c>
      <c r="F59" s="51"/>
      <c r="G59" s="51"/>
    </row>
    <row r="60" spans="2:7" ht="15.6" x14ac:dyDescent="0.3">
      <c r="B60" s="63">
        <v>18000</v>
      </c>
      <c r="C60" s="63">
        <v>4500</v>
      </c>
      <c r="D60" s="63">
        <v>2.6</v>
      </c>
      <c r="E60" s="63">
        <v>2.86</v>
      </c>
      <c r="F60" s="51"/>
      <c r="G60" s="51"/>
    </row>
    <row r="61" spans="2:7" ht="15.6" x14ac:dyDescent="0.3">
      <c r="B61" s="63">
        <v>21000</v>
      </c>
      <c r="C61" s="63">
        <v>5250</v>
      </c>
      <c r="D61" s="63">
        <v>2.8</v>
      </c>
      <c r="E61" s="63">
        <v>3.08</v>
      </c>
      <c r="F61" s="51"/>
      <c r="G61" s="51"/>
    </row>
    <row r="62" spans="2:7" ht="15.6" x14ac:dyDescent="0.3">
      <c r="B62" s="63">
        <v>30000</v>
      </c>
      <c r="C62" s="63">
        <v>7500</v>
      </c>
      <c r="D62" s="63">
        <v>3.6</v>
      </c>
      <c r="E62" s="63">
        <v>4</v>
      </c>
      <c r="F62" s="51"/>
      <c r="G62" s="51"/>
    </row>
  </sheetData>
  <sheetProtection algorithmName="SHA-512" hashValue="J+ErnaqZbMBODcmuP3IEj7pUyffy8H/ckHP1ujBfU4EI5ghqQ8Txsi40qvVTbMU4ZMT5j6htMdDpIkXta4ljkg==" saltValue="3+FJPRKBjOKkttx8uwFJVw==" spinCount="100000" sheet="1" objects="1" scenarios="1" selectLockedCells="1" selectUnlockedCells="1"/>
  <mergeCells count="11"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E36C66EE50F94188C6DB134A1DB083" ma:contentTypeVersion="20" ma:contentTypeDescription="Crie um novo documento." ma:contentTypeScope="" ma:versionID="d8fa7ebe5cebd08ed429b9d6be320ff1">
  <xsd:schema xmlns:xsd="http://www.w3.org/2001/XMLSchema" xmlns:xs="http://www.w3.org/2001/XMLSchema" xmlns:p="http://schemas.microsoft.com/office/2006/metadata/properties" xmlns:ns1="http://schemas.microsoft.com/sharepoint/v3" xmlns:ns3="71008e75-73bd-4fc6-a0cc-4ee2e1e10b13" xmlns:ns4="5d266eaa-3211-470e-9169-404b82a9b205" targetNamespace="http://schemas.microsoft.com/office/2006/metadata/properties" ma:root="true" ma:fieldsID="145bd10944244f64660fdcbe567479d3" ns1:_="" ns3:_="" ns4:_="">
    <xsd:import namespace="http://schemas.microsoft.com/sharepoint/v3"/>
    <xsd:import namespace="71008e75-73bd-4fc6-a0cc-4ee2e1e10b13"/>
    <xsd:import namespace="5d266eaa-3211-470e-9169-404b82a9b20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LengthInSecond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008e75-73bd-4fc6-a0cc-4ee2e1e10b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description="" ma:indexed="true" ma:internalName="MediaServiceLocation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266eaa-3211-470e-9169-404b82a9b205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d266eaa-3211-470e-9169-404b82a9b205">
      <UserInfo>
        <DisplayName/>
        <AccountId xsi:nil="true"/>
        <AccountType/>
      </UserInfo>
    </SharedWithUsers>
    <_ip_UnifiedCompliancePolicyUIAction xmlns="http://schemas.microsoft.com/sharepoint/v3" xsi:nil="true"/>
    <_activity xmlns="71008e75-73bd-4fc6-a0cc-4ee2e1e10b1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8867DE-0D54-4991-8EA0-4715783DF0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008e75-73bd-4fc6-a0cc-4ee2e1e10b13"/>
    <ds:schemaRef ds:uri="5d266eaa-3211-470e-9169-404b82a9b2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A62929-98B0-484C-A788-9DA5096E52FC}">
  <ds:schemaRefs>
    <ds:schemaRef ds:uri="http://schemas.microsoft.com/office/2006/documentManagement/types"/>
    <ds:schemaRef ds:uri="http://www.w3.org/XML/1998/namespace"/>
    <ds:schemaRef ds:uri="5d266eaa-3211-470e-9169-404b82a9b205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microsoft.com/sharepoint/v3"/>
    <ds:schemaRef ds:uri="http://purl.org/dc/terms/"/>
    <ds:schemaRef ds:uri="http://schemas.openxmlformats.org/package/2006/metadata/core-properties"/>
    <ds:schemaRef ds:uri="71008e75-73bd-4fc6-a0cc-4ee2e1e10b1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978CC43-D0AF-4090-B0BF-5A422B22C6D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15</vt:i4>
      </vt:variant>
    </vt:vector>
  </HeadingPairs>
  <TitlesOfParts>
    <vt:vector size="27" baseType="lpstr">
      <vt:lpstr>Formulário MT</vt:lpstr>
      <vt:lpstr>Planilha5</vt:lpstr>
      <vt:lpstr>SUB-CLASSE</vt:lpstr>
      <vt:lpstr>CLASSE</vt:lpstr>
      <vt:lpstr>Anexo I - Compartilhadas (2)</vt:lpstr>
      <vt:lpstr>Anexo I - Unidades_Adicionais</vt:lpstr>
      <vt:lpstr>Valid. CPF</vt:lpstr>
      <vt:lpstr>CALCULOS</vt:lpstr>
      <vt:lpstr>Anexo II - Conversão Potências</vt:lpstr>
      <vt:lpstr>Planilha1</vt:lpstr>
      <vt:lpstr>Listas</vt:lpstr>
      <vt:lpstr>IMAGENS</vt:lpstr>
      <vt:lpstr>'Anexo I - Unidades_Adicionais'!Area_de_impressao</vt:lpstr>
      <vt:lpstr>'Formulário MT'!Area_de_impressao</vt:lpstr>
      <vt:lpstr>RAMAL1</vt:lpstr>
      <vt:lpstr>RAMAL2</vt:lpstr>
      <vt:lpstr>RAMAL3</vt:lpstr>
      <vt:lpstr>RAMAL4</vt:lpstr>
      <vt:lpstr>RAMAL5</vt:lpstr>
      <vt:lpstr>RAMALRUR</vt:lpstr>
      <vt:lpstr>RAMALURB</vt:lpstr>
      <vt:lpstr>SE_NOVA_300</vt:lpstr>
      <vt:lpstr>SE_NOVA_MAIOR300KW</vt:lpstr>
      <vt:lpstr>SECOMP</vt:lpstr>
      <vt:lpstr>SENAB30022</vt:lpstr>
      <vt:lpstr>SENOVA300</vt:lpstr>
      <vt:lpstr>SENOVA300KW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Giulia Tedeschi Pivatelli</dc:creator>
  <cp:keywords/>
  <dc:description/>
  <cp:lastModifiedBy>ARTHUR WILER CAMPOS OLIVEIRA</cp:lastModifiedBy>
  <cp:revision/>
  <cp:lastPrinted>2026-01-15T19:21:26Z</cp:lastPrinted>
  <dcterms:created xsi:type="dcterms:W3CDTF">2021-06-16T18:40:18Z</dcterms:created>
  <dcterms:modified xsi:type="dcterms:W3CDTF">2026-01-19T16:25:49Z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0x010100E5E36C66EE50F94188C6DB134A1DB083</vt:lpwstr>
  </property>
  <property fmtid="{D5CDD505-2E9C-101B-9397-08002B2CF9AE}" pid="3" name="Order">
    <vt:r8>1682400</vt:r8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MediaServiceImageTags">
    <vt:lpwstr/>
  </property>
</Properties>
</file>