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never" codeName="EstaPastaDeTrabalho" defaultThemeVersion="124226"/>
  <mc:AlternateContent xmlns:mc="http://schemas.openxmlformats.org/markup-compatibility/2006">
    <mc:Choice Requires="x15">
      <x15ac:absPath xmlns:x15ac="http://schemas.microsoft.com/office/spreadsheetml/2010/11/ac" url="https://cemigbr.sharepoint.com/sites/ParecerdeAcessoRCGD/Documentos Compartilhados/FORMULARIOS/MICRO/REV N4/"/>
    </mc:Choice>
  </mc:AlternateContent>
  <xr:revisionPtr revIDLastSave="1860" documentId="14_{DB6FF6AC-EF4A-43D3-87AB-1F1946B7F60C}" xr6:coauthVersionLast="47" xr6:coauthVersionMax="47" xr10:uidLastSave="{641E0EFB-EC4F-4928-9D4E-2D89905DD42A}"/>
  <workbookProtection workbookAlgorithmName="SHA-512" workbookHashValue="2zGacDEQg3nRmXiETiTp2i7wseW0doBYOAVfSQxWO+16uD+dyz2Yfd+MkBXsabBcgFrreZbWAXB6AmKWVyDGXg==" workbookSaltValue="A4XAw6kKl1VTPHmTJ6LbXg==" workbookSpinCount="100000" lockStructure="1"/>
  <bookViews>
    <workbookView xWindow="-38520" yWindow="-6015" windowWidth="19440" windowHeight="14880" xr2:uid="{00000000-000D-0000-FFFF-FFFF00000000}"/>
  </bookViews>
  <sheets>
    <sheet name="Formulário" sheetId="1" r:id="rId1"/>
    <sheet name="Notas Explicativas" sheetId="5" r:id="rId2"/>
    <sheet name="Dados" sheetId="4" state="hidden" r:id="rId3"/>
    <sheet name="Apoio" sheetId="2" state="hidden" r:id="rId4"/>
    <sheet name="Conferencia" sheetId="3" state="hidden" r:id="rId5"/>
    <sheet name="Resp Seg Barragem" sheetId="7" state="hidden" r:id="rId6"/>
    <sheet name="ControleREV" sheetId="6" state="hidden" r:id="rId7"/>
  </sheets>
  <externalReferences>
    <externalReference r:id="rId8"/>
    <externalReference r:id="rId9"/>
    <externalReference r:id="rId10"/>
  </externalReferences>
  <definedNames>
    <definedName name="_xlnm.Print_Area" localSheetId="0">Formulário!$B$2:$AW$298</definedName>
    <definedName name="CargaInstalada" localSheetId="5">[1]Formulário!$T$39</definedName>
    <definedName name="CargaInstalada">Apoio!$G$10</definedName>
    <definedName name="Cod_Solicitação" localSheetId="5">SUM([2]Dados!$D$4:$D$7)</definedName>
    <definedName name="Cod_Solicitação">SUM(Dados!$D$4:$D$7)</definedName>
    <definedName name="Demanda_a_contratar">[1]Formulário!$K$50</definedName>
    <definedName name="E_Máximo" localSheetId="5">[1]Dados!$J$10</definedName>
    <definedName name="E_Máximo">Dados!$J$10</definedName>
    <definedName name="E_Mínimo" localSheetId="5">[1]Dados!$I$10</definedName>
    <definedName name="E_Mínimo">Dados!$I$10</definedName>
    <definedName name="Fases_Disjuntor_2" localSheetId="5">IF([2]Formulário!$H$49=" Disjuntor Geral do Padrão (Conforme ND 5.2):",[2]Dados!$B$35:$B$38,[2]Dados!$B$35:$B$37)</definedName>
    <definedName name="Fases_Disjuntor_2">IF(Formulário!$H$51=" Disjuntor Geral do Padrão (Conforme ND 5.2):",Dados!$B$35:$B$38,Dados!$B$35:$B$37)</definedName>
    <definedName name="Fases_Disjuntores" localSheetId="5">IF([2]Formulário!$H$47=" Disjuntor Geral do Padrão (Conforme ND 5.2):",[2]Dados!$B$35:$B$38,IF([2]Formulário!$I$39=[2]Apoio!$A$5,[2]Dados!$B$42:$B$45,[2]Dados!$B$35:$B$37))</definedName>
    <definedName name="Fases_Disjuntores">IF(Formulário!$H$49=" Disjuntor Geral do Padrão (Conforme ND 5.2):",Dados!$B$35:$B$38,IF(Formulário!$I$41=Apoio!$A$5,Dados!$B$42:$B$45,Dados!$B$35:$B$37))</definedName>
    <definedName name="Fases_Disjuntores_3" localSheetId="5">IF([2]Formulário!$H$45="Disjuntor de Baixa Tensão:",[2]Dados!$B$37,[2]Dados!$B$35:$B$37)</definedName>
    <definedName name="Fases_Disjuntores_3">IF(Formulário!$H$47="Disjuntor de Baixa Tensão:",Dados!$B$37,Dados!$B$35:$B$37)</definedName>
    <definedName name="Grupo" localSheetId="5">[1]Formulário!$E$16</definedName>
    <definedName name="Grupo">Formulário!$E$18</definedName>
    <definedName name="Mensagem_Erro" localSheetId="5">[1]Conferencia!$D$2</definedName>
    <definedName name="Mensagem_Erro">Conferencia!$D$1</definedName>
    <definedName name="Modalidade_FAST">Dados!$B$54</definedName>
    <definedName name="Modalidade_GERAL">Dados!$B$54:$B$57</definedName>
    <definedName name="MudançaLocal" localSheetId="5">IF([1]Dados!$V$3=1,[1]Dados!$V$6,[1]Dados!$V$5:$V$6)</definedName>
    <definedName name="MudançaLocal">IF(Dados!$V$3=1,Dados!$V$6,Dados!$V$5:$V$6)</definedName>
    <definedName name="MudançaLocal2">IF([3]Dados!$V$3=1,[3]Dados!$V$6,[3]Dados!$V$5:$V$6)</definedName>
    <definedName name="N_Máximo" localSheetId="5">[1]Dados!$L$10</definedName>
    <definedName name="N_Máximo">Dados!$L$10</definedName>
    <definedName name="N_Mínimo" localSheetId="5">[1]Dados!$K$10</definedName>
    <definedName name="N_Mínimo">Dados!$K$10</definedName>
    <definedName name="Outros_Trafos_Particulares">Dados!$T$4:$T$8</definedName>
    <definedName name="Pot_Ativa_Instalada" localSheetId="5">[1]Formulário!$AT$57</definedName>
    <definedName name="Pot_Ativa_Instalada">Formulário!$AT$95</definedName>
    <definedName name="Ramal" localSheetId="5">[2]Formulário!$X$52</definedName>
    <definedName name="Ramal">Formulário!$X$55</definedName>
    <definedName name="Tbl_Disj_4" localSheetId="5">IF([2]Formulário!$H$45=" Disjuntor de Baixa Tensão:",[2]Apoio!$B$133:$B$148,1000)</definedName>
    <definedName name="Tbl_Disj_4">IF(Formulário!$H$47=" Disjuntor de Baixa Tensão:",Apoio!$B$127:$B$142,1000)</definedName>
    <definedName name="TblDisj" localSheetId="5">IF([1]Formulário!#REF!="Monopolar",[1]Apoio!$B$12:$B$15,IF([1]Formulário!#REF!="Bipolar",[1]Apoio!$B$16:$B$27,[1]Apoio!$B$28:$B$50))</definedName>
    <definedName name="TblDisj">IF(AND(Grupo="B",Formulário!$AB$47="Monopolar"),Apoio!$B$12:$B$15,IF(AND(Grupo="B",Formulário!$AB$47="Bipolar"),Apoio!$B$16:$B$27,IF(AND(Grupo="B",Formulário!$AB$47="Tripolar"),Apoio!$B$28:$B$50,Apoio!$B$127:$B$142)))</definedName>
    <definedName name="TblDisj_1">Apoio!$B$12:$B$15</definedName>
    <definedName name="TblDisj_2" localSheetId="5">IF([1]Formulário!#REF!="Monopolar",[1]Apoio!$B$12:$B$15,IF([1]Formulário!#REF!="Bipolar",[1]Apoio!$B$16:$B$27,[1]Apoio!$B$28:$B$50))</definedName>
    <definedName name="TblDisj_2">IF(Cod_Solicitação=4,IF(Formulário!$AB$47="Monopolar",Apoio!$B$56:$B$56,IF(Formulário!$AB$47="Bipolar",Apoio!$B$57:$B$61,Apoio!$B$62:$B$79)),IF(Formulário!$AB$49="Monopolar",Apoio!$B$56:$B$56,IF(Formulário!$AB$49="Bipolar",Apoio!$B$57:$B$61,Apoio!$B$62:$B$79)))</definedName>
    <definedName name="TblDisj_3" localSheetId="5">IF([1]Formulário!#REF!="Bipolar",[1]Apoio!$B$59:$B$66,[1]Apoio!$B$67:$B$93)</definedName>
    <definedName name="TblDisj_3">IF(Formulário!$AB$51="Bipolar",Apoio!$B$86:$B$93,Apoio!$B$94:$B$120)</definedName>
    <definedName name="Tensão_SE_N°_2">Dados!$E$20:$E$21</definedName>
    <definedName name="TensãoA">Dados!$B$20:$B$22</definedName>
    <definedName name="TensãoB">Dados!$B$26:$B$27</definedName>
    <definedName name="TensãoGrupo" localSheetId="5">IF('Resp Seg Barragem'!Grupo="A",[1]Dados!$C$20:$C$22,[1]Dados!$C$20:$C$21)</definedName>
    <definedName name="TensãoGrupo">IF(Grupo="A",Dados!$C$20:$C$22,Dados!$C$20:$C$21)</definedName>
    <definedName name="TipoFonte" localSheetId="5">[1]Formulário!$L$57</definedName>
    <definedName name="TipoFonte">Formulário!$L$95</definedName>
    <definedName name="TipoRamal" localSheetId="5">[1]Dados!$B$30:$B$31</definedName>
    <definedName name="TipoRamal">IF(Dados!$C$28="1Tipo",Dados!$C$30,Dados!$C$30:$C$31)</definedName>
    <definedName name="Tipos_Edificações" localSheetId="5">[2]Dados!$B$13:$B$16</definedName>
    <definedName name="Tipos_Edificações">Dados!$B$13:$B$16</definedName>
    <definedName name="Tipos_Lig_Trafos">[1]Dados!$B$34:$B$37</definedName>
    <definedName name="Tipos_Solicitação" localSheetId="5">IF('Resp Seg Barragem'!TipoSE = "Nº 1",[1]Dados!$B$4:$B$6,[1]Dados!$B$4:$B$7)</definedName>
    <definedName name="Tipos_Solicitação">IF(TipoSE = "Nº 1",Dados!$B$4:$B$6,Dados!$B$4:$B$7)</definedName>
    <definedName name="TipoSE" localSheetId="5">[1]Formulário!$O$33</definedName>
    <definedName name="TipoSE">Formulário!$T$36</definedName>
    <definedName name="_xlnm.Print_Titles" localSheetId="0">Formulário!$2:$6</definedName>
    <definedName name="TrafosPorSE" localSheetId="5">IF(OR('Resp Seg Barragem'!TipoSE="Nº 1",'Resp Seg Barragem'!TipoSE="Nº 5",'Resp Seg Barragem'!TipoSE="Nº 8"),[1]Dados!$P$5:$P$8,[1]Dados!$R$4:$R$7)</definedName>
    <definedName name="TrafosPorSE">IF(OR(TipoSE="Nº 1",TipoSE="Nº 5",TipoSE="Nº 8"),Dados!$P$4:$P$8,Dados!$R$4:$R$7)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06" i="1" l="1"/>
  <c r="Q14" i="1"/>
  <c r="B100" i="1" l="1"/>
  <c r="AT95" i="1" l="1"/>
  <c r="B147" i="2" s="1"/>
  <c r="B145" i="2" s="1"/>
  <c r="B114" i="1"/>
  <c r="B112" i="1"/>
  <c r="X118" i="1"/>
  <c r="X116" i="1"/>
  <c r="X114" i="1"/>
  <c r="X112" i="1"/>
  <c r="X110" i="1"/>
  <c r="X108" i="1"/>
  <c r="B118" i="1"/>
  <c r="B116" i="1"/>
  <c r="B110" i="1"/>
  <c r="B108" i="1"/>
  <c r="H18" i="1"/>
  <c r="B4" i="3"/>
  <c r="AN12" i="1"/>
  <c r="A50" i="3"/>
  <c r="B50" i="3" s="1"/>
  <c r="A49" i="3"/>
  <c r="B49" i="3" s="1"/>
  <c r="B44" i="3"/>
  <c r="B42" i="3"/>
  <c r="B39" i="3"/>
  <c r="B96" i="1"/>
  <c r="B67" i="4" a="1"/>
  <c r="B67" i="4" s="1"/>
  <c r="X120" i="1"/>
  <c r="C211" i="1"/>
  <c r="AI61" i="1"/>
  <c r="AK63" i="1"/>
  <c r="B67" i="1"/>
  <c r="J17" i="2" l="1"/>
  <c r="J18" i="2" s="1"/>
  <c r="J12" i="2"/>
  <c r="J13" i="2" s="1"/>
  <c r="E189" i="1"/>
  <c r="B35" i="3"/>
  <c r="B34" i="3"/>
  <c r="E191" i="1"/>
  <c r="U57" i="1"/>
  <c r="B150" i="1"/>
  <c r="B148" i="1"/>
  <c r="B146" i="1"/>
  <c r="B144" i="1"/>
  <c r="B142" i="1"/>
  <c r="B140" i="1"/>
  <c r="AB138" i="1"/>
  <c r="E138" i="1"/>
  <c r="B136" i="1"/>
  <c r="B262" i="1"/>
  <c r="G10" i="2" l="1"/>
  <c r="B103" i="1"/>
  <c r="B45" i="3" l="1"/>
  <c r="B43" i="3"/>
  <c r="B41" i="3"/>
  <c r="A47" i="3"/>
  <c r="A48" i="3"/>
  <c r="A45" i="3"/>
  <c r="A43" i="3"/>
  <c r="A42" i="3"/>
  <c r="A44" i="3"/>
  <c r="A41" i="3"/>
  <c r="E6" i="3"/>
  <c r="B28" i="3"/>
  <c r="I2" i="2"/>
  <c r="K2" i="2"/>
  <c r="H2" i="2"/>
  <c r="L3" i="2" l="1"/>
  <c r="K3" i="2"/>
  <c r="J3" i="2"/>
  <c r="I3" i="2"/>
  <c r="H3" i="2"/>
  <c r="I4" i="2" l="1"/>
  <c r="K4" i="2"/>
  <c r="H47" i="1"/>
  <c r="B12" i="3"/>
  <c r="B53" i="3"/>
  <c r="B27" i="3"/>
  <c r="B26" i="3"/>
  <c r="B33" i="3"/>
  <c r="G38" i="1"/>
  <c r="D23" i="3"/>
  <c r="D22" i="3"/>
  <c r="D21" i="3"/>
  <c r="B20" i="3" s="1"/>
  <c r="AO41" i="1"/>
  <c r="V3" i="4"/>
  <c r="B55" i="3"/>
  <c r="B36" i="3"/>
  <c r="B22" i="3" l="1"/>
  <c r="B21" i="3"/>
  <c r="B19" i="3"/>
  <c r="B18" i="3"/>
  <c r="A18" i="3"/>
  <c r="B54" i="3"/>
  <c r="B52" i="3"/>
  <c r="B47" i="3"/>
  <c r="A46" i="3"/>
  <c r="B46" i="3" s="1"/>
  <c r="A40" i="3"/>
  <c r="B48" i="3"/>
  <c r="B40" i="3"/>
  <c r="B51" i="3"/>
  <c r="C22" i="4"/>
  <c r="C20" i="4"/>
  <c r="I18" i="4" a="1"/>
  <c r="I18" i="4" s="1"/>
  <c r="B17" i="3"/>
  <c r="D20" i="3"/>
  <c r="C28" i="4"/>
  <c r="C30" i="4" s="1"/>
  <c r="H10" i="4"/>
  <c r="L10" i="4" s="1"/>
  <c r="B36" i="1"/>
  <c r="D16" i="4"/>
  <c r="D15" i="4"/>
  <c r="D14" i="4"/>
  <c r="D13" i="4"/>
  <c r="L2" i="1" l="1"/>
  <c r="E9" i="3"/>
  <c r="D9" i="3" s="1"/>
  <c r="E8" i="3"/>
  <c r="D8" i="3" s="1"/>
  <c r="J10" i="4"/>
  <c r="K10" i="4"/>
  <c r="I10" i="4"/>
  <c r="C31" i="4"/>
  <c r="D7" i="4"/>
  <c r="D6" i="4"/>
  <c r="D5" i="4"/>
  <c r="D4" i="4"/>
  <c r="H49" i="1" l="1"/>
  <c r="B29" i="3" s="1"/>
  <c r="H51" i="1"/>
  <c r="D6" i="3"/>
  <c r="C106" i="1"/>
  <c r="B24" i="3"/>
  <c r="E5" i="3"/>
  <c r="D5" i="3" s="1"/>
  <c r="D18" i="3"/>
  <c r="E7" i="3" s="1"/>
  <c r="D7" i="3" s="1"/>
  <c r="B1" i="3"/>
  <c r="B57" i="1"/>
  <c r="C21" i="4"/>
  <c r="C18" i="4"/>
  <c r="C5" i="4"/>
  <c r="C6" i="4"/>
  <c r="C7" i="4"/>
  <c r="C4" i="4"/>
  <c r="B31" i="3" l="1"/>
  <c r="B30" i="3"/>
  <c r="AK49" i="1"/>
  <c r="AK51" i="1"/>
  <c r="B37" i="3"/>
  <c r="B32" i="3"/>
  <c r="B25" i="3"/>
  <c r="B23" i="3"/>
  <c r="B16" i="3"/>
  <c r="B15" i="3"/>
  <c r="B14" i="3"/>
  <c r="B13" i="3"/>
  <c r="B11" i="3"/>
  <c r="B10" i="3"/>
  <c r="B9" i="3"/>
  <c r="B8" i="3"/>
  <c r="B7" i="3"/>
  <c r="B6" i="3"/>
  <c r="B5" i="3"/>
  <c r="B3" i="3"/>
  <c r="B2" i="3"/>
  <c r="AM43" i="1"/>
  <c r="Y31" i="1" l="1"/>
  <c r="AG31" i="1"/>
  <c r="E4" i="3"/>
  <c r="D4" i="3" s="1"/>
  <c r="D1" i="3" s="1"/>
  <c r="B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<sst xmlns="http://schemas.openxmlformats.org/spreadsheetml/2006/main" count="631" uniqueCount="409">
  <si>
    <t>1 – IDENTIFICAÇÃO DA UNIDADE CONSUMIDORA – UC</t>
  </si>
  <si>
    <t>Telefone:</t>
  </si>
  <si>
    <t>2 – DADOS DA UNIDADE CONSUMIDORA</t>
  </si>
  <si>
    <t>Fuso:</t>
  </si>
  <si>
    <t>E (Abscissa):</t>
  </si>
  <si>
    <t>N (Ordenada):</t>
  </si>
  <si>
    <t>Número da instalação:</t>
  </si>
  <si>
    <t>Ligação de Nova Unidade Consumidora COM Geração Distribuída</t>
  </si>
  <si>
    <t>Conexão de GD em Unidade Consumidora Existente SEM Alteração de Potência Disponibilizada</t>
  </si>
  <si>
    <t>Conexão de GD em Unidade Consumidora Existente COM Alteração de Potência Disponibilizada</t>
  </si>
  <si>
    <t>GD Existente COM Alteração de Potência Ativa Instalada Total</t>
  </si>
  <si>
    <t>Tipo de edificação:</t>
  </si>
  <si>
    <t>Tensão de Atendimento (V):</t>
  </si>
  <si>
    <t>Preencha o quadro a seguir somente se a usina possuiu OUTORGA OU REGISTRO. Se não aplicável, mantenha os campos vazios.</t>
  </si>
  <si>
    <r>
      <t>CPF/CNPJ</t>
    </r>
    <r>
      <rPr>
        <sz val="11"/>
        <color indexed="10"/>
        <rFont val="Calibri"/>
        <family val="2"/>
      </rPr>
      <t>*</t>
    </r>
    <r>
      <rPr>
        <sz val="11"/>
        <color theme="1"/>
        <rFont val="Calibri"/>
        <family val="2"/>
        <scheme val="minor"/>
      </rPr>
      <t>:</t>
    </r>
  </si>
  <si>
    <r>
      <t>Grupo</t>
    </r>
    <r>
      <rPr>
        <sz val="11"/>
        <color indexed="10"/>
        <rFont val="Calibri"/>
        <family val="2"/>
      </rPr>
      <t>*</t>
    </r>
    <r>
      <rPr>
        <sz val="11"/>
        <color theme="1"/>
        <rFont val="Calibri"/>
        <family val="2"/>
        <scheme val="minor"/>
      </rPr>
      <t>:</t>
    </r>
  </si>
  <si>
    <r>
      <t>Logradouro</t>
    </r>
    <r>
      <rPr>
        <sz val="11"/>
        <color indexed="10"/>
        <rFont val="Calibri"/>
        <family val="2"/>
      </rPr>
      <t>*</t>
    </r>
    <r>
      <rPr>
        <sz val="11"/>
        <color theme="1"/>
        <rFont val="Calibri"/>
        <family val="2"/>
        <scheme val="minor"/>
      </rPr>
      <t>:</t>
    </r>
  </si>
  <si>
    <r>
      <t>Número</t>
    </r>
    <r>
      <rPr>
        <sz val="11"/>
        <color indexed="10"/>
        <rFont val="Calibri"/>
        <family val="2"/>
      </rPr>
      <t>*</t>
    </r>
    <r>
      <rPr>
        <sz val="11"/>
        <color theme="1"/>
        <rFont val="Calibri"/>
        <family val="2"/>
        <scheme val="minor"/>
      </rPr>
      <t>:</t>
    </r>
  </si>
  <si>
    <r>
      <t>Estado</t>
    </r>
    <r>
      <rPr>
        <sz val="11"/>
        <color indexed="10"/>
        <rFont val="Calibri"/>
        <family val="2"/>
      </rPr>
      <t>*</t>
    </r>
    <r>
      <rPr>
        <sz val="11"/>
        <color theme="1"/>
        <rFont val="Calibri"/>
        <family val="2"/>
        <scheme val="minor"/>
      </rPr>
      <t>:</t>
    </r>
  </si>
  <si>
    <r>
      <t>CEP</t>
    </r>
    <r>
      <rPr>
        <sz val="11"/>
        <color indexed="10"/>
        <rFont val="Calibri"/>
        <family val="2"/>
      </rPr>
      <t>*</t>
    </r>
    <r>
      <rPr>
        <sz val="11"/>
        <color theme="1"/>
        <rFont val="Calibri"/>
        <family val="2"/>
        <scheme val="minor"/>
      </rPr>
      <t>:</t>
    </r>
  </si>
  <si>
    <r>
      <t>Município</t>
    </r>
    <r>
      <rPr>
        <sz val="11"/>
        <color indexed="10"/>
        <rFont val="Calibri"/>
        <family val="2"/>
      </rPr>
      <t>*</t>
    </r>
    <r>
      <rPr>
        <sz val="11"/>
        <color theme="1"/>
        <rFont val="Calibri"/>
        <family val="2"/>
        <scheme val="minor"/>
      </rPr>
      <t>:</t>
    </r>
  </si>
  <si>
    <r>
      <t>Bairro</t>
    </r>
    <r>
      <rPr>
        <sz val="11"/>
        <color indexed="10"/>
        <rFont val="Calibri"/>
        <family val="2"/>
      </rPr>
      <t>*</t>
    </r>
    <r>
      <rPr>
        <sz val="11"/>
        <color theme="1"/>
        <rFont val="Calibri"/>
        <family val="2"/>
        <scheme val="minor"/>
      </rPr>
      <t>:</t>
    </r>
  </si>
  <si>
    <t>Tipo de Subestação (Conforme ND 5.3):</t>
  </si>
  <si>
    <t>A</t>
  </si>
  <si>
    <t>CEG do empreendimento:</t>
  </si>
  <si>
    <t>Nome da Usina:</t>
  </si>
  <si>
    <t>Número do Ato de Outorga ou Registro:</t>
  </si>
  <si>
    <t>Ano do Ato de Outorga ou Registro:</t>
  </si>
  <si>
    <t>Tipo do Ato de Outorga ou Registro:</t>
  </si>
  <si>
    <t>Tipo de Solicitação</t>
  </si>
  <si>
    <t>Fuso</t>
  </si>
  <si>
    <t>E (Abscissa) Min</t>
  </si>
  <si>
    <t>E (Abscissa) Max</t>
  </si>
  <si>
    <t>N (Ordenada) Min</t>
  </si>
  <si>
    <t>N (Ordenada) Max</t>
  </si>
  <si>
    <t>Potência Ativa Instalada Total de Geração da Usina (kW):</t>
  </si>
  <si>
    <t>Grupo</t>
  </si>
  <si>
    <t>Classe</t>
  </si>
  <si>
    <t>CPF/CNPJ</t>
  </si>
  <si>
    <t>Logradouro</t>
  </si>
  <si>
    <t>Número</t>
  </si>
  <si>
    <r>
      <t>Complemento</t>
    </r>
    <r>
      <rPr>
        <sz val="11"/>
        <color theme="1"/>
        <rFont val="Calibri"/>
        <family val="2"/>
        <scheme val="minor"/>
      </rPr>
      <t>:</t>
    </r>
  </si>
  <si>
    <t>Bairro</t>
  </si>
  <si>
    <t>Municipio</t>
  </si>
  <si>
    <t>Estado</t>
  </si>
  <si>
    <t>CEP</t>
  </si>
  <si>
    <t>e-mail</t>
  </si>
  <si>
    <t>Número da Instalação</t>
  </si>
  <si>
    <r>
      <t>Titular da Unidade Consumidora</t>
    </r>
    <r>
      <rPr>
        <sz val="11"/>
        <color indexed="10"/>
        <rFont val="Calibri"/>
        <family val="2"/>
      </rPr>
      <t>*</t>
    </r>
    <r>
      <rPr>
        <sz val="11"/>
        <color theme="1"/>
        <rFont val="Calibri"/>
        <family val="2"/>
        <scheme val="minor"/>
      </rPr>
      <t>:</t>
    </r>
  </si>
  <si>
    <t>Titular da Unidade Consumidora</t>
  </si>
  <si>
    <t>E (Abscissa)</t>
  </si>
  <si>
    <t>N (Ordenada)</t>
  </si>
  <si>
    <t>Tipo de edificação</t>
  </si>
  <si>
    <t>Tipo de Solicitação:</t>
  </si>
  <si>
    <t>Disjuntor Individual Atual</t>
  </si>
  <si>
    <t>Disjuntor Individual Solicitado para Alteração de Carga</t>
  </si>
  <si>
    <t>Disjuntor Geral do Padrão (Conforme ND 5.2)</t>
  </si>
  <si>
    <t>Tensão de Atendimento (V)</t>
  </si>
  <si>
    <t>Haverá Mudança de Local do Padrão de Entrada</t>
  </si>
  <si>
    <t>Tipo de Fonte de Geração</t>
  </si>
  <si>
    <t>Modalidade de compensação</t>
  </si>
  <si>
    <t>Potência Ativa Instalada Total de Geração da Usina (kW)</t>
  </si>
  <si>
    <t>Qtde. de Instalações a receber o crédito:</t>
  </si>
  <si>
    <t>Qtde. de Instalações a receber o crédito</t>
  </si>
  <si>
    <t>Tipo de Subestação (Conforme ND 5.3)</t>
  </si>
  <si>
    <t>Tipo de Ramal</t>
  </si>
  <si>
    <t>Bipolar</t>
  </si>
  <si>
    <t>Tripolar</t>
  </si>
  <si>
    <t>Aéreo</t>
  </si>
  <si>
    <r>
      <t>E-mail</t>
    </r>
    <r>
      <rPr>
        <sz val="11"/>
        <color indexed="10"/>
        <rFont val="Calibri"/>
        <family val="2"/>
      </rPr>
      <t>*</t>
    </r>
    <r>
      <rPr>
        <sz val="11"/>
        <color theme="1"/>
        <rFont val="Calibri"/>
        <family val="2"/>
        <scheme val="minor"/>
      </rPr>
      <t>:</t>
    </r>
  </si>
  <si>
    <t>Disjuntor</t>
  </si>
  <si>
    <t>Limite máximo para injeção(kW)</t>
  </si>
  <si>
    <t>Tipo</t>
  </si>
  <si>
    <t>Corrente (A)</t>
  </si>
  <si>
    <t>Monopolar</t>
  </si>
  <si>
    <t xml:space="preserve">Edificação Individual </t>
  </si>
  <si>
    <t xml:space="preserve">Edificação de Uso Coletivo (telhado coletivo ou em área comum do condomínio)      </t>
  </si>
  <si>
    <t xml:space="preserve">Edificação de Uso Coletivo (telhado independente e privativo)   </t>
  </si>
  <si>
    <t>Agrupamento</t>
  </si>
  <si>
    <t>Tipos Edificações</t>
  </si>
  <si>
    <t>Tipos Solicitações</t>
  </si>
  <si>
    <t>Tensão Grupo A</t>
  </si>
  <si>
    <t>Tensão Grupo B</t>
  </si>
  <si>
    <t>127/220</t>
  </si>
  <si>
    <t>120/240</t>
  </si>
  <si>
    <t>Tensão Grupo</t>
  </si>
  <si>
    <t>Subterrâneo</t>
  </si>
  <si>
    <t>TipoRamal</t>
  </si>
  <si>
    <t>Cod_Solicitação</t>
  </si>
  <si>
    <t>Cod_Edificação</t>
  </si>
  <si>
    <t xml:space="preserve">Tipo de Padrão de Entrada:  </t>
  </si>
  <si>
    <t>Monopolar40</t>
  </si>
  <si>
    <t>Monopolar50</t>
  </si>
  <si>
    <t>Monopolar63</t>
  </si>
  <si>
    <t>Monopolar70</t>
  </si>
  <si>
    <t>Bipolar40</t>
  </si>
  <si>
    <t>Bipolar50</t>
  </si>
  <si>
    <t>Bipolar60</t>
  </si>
  <si>
    <t>Bipolar63</t>
  </si>
  <si>
    <t>Bipolar70</t>
  </si>
  <si>
    <t>Bipolar80</t>
  </si>
  <si>
    <t>Bipolar90</t>
  </si>
  <si>
    <t>Bipolar100</t>
  </si>
  <si>
    <t>Bipolar120</t>
  </si>
  <si>
    <t>Bipolar125</t>
  </si>
  <si>
    <t>Bipolar150</t>
  </si>
  <si>
    <t>Bipolar200</t>
  </si>
  <si>
    <t>Tripolar40</t>
  </si>
  <si>
    <t>Tripolar60</t>
  </si>
  <si>
    <t>Tripolar63</t>
  </si>
  <si>
    <t>Tripolar70</t>
  </si>
  <si>
    <t>Tripolar80</t>
  </si>
  <si>
    <t>Tripolar100</t>
  </si>
  <si>
    <t>Tripolar120</t>
  </si>
  <si>
    <t>Tripolar125</t>
  </si>
  <si>
    <t>Tripolar150</t>
  </si>
  <si>
    <t>Tripolar175</t>
  </si>
  <si>
    <t>Tripolar200</t>
  </si>
  <si>
    <t>Tripolar225</t>
  </si>
  <si>
    <t>Tripolar250</t>
  </si>
  <si>
    <t>Tripolar300</t>
  </si>
  <si>
    <t>Tripolar315</t>
  </si>
  <si>
    <t>Tripolar320</t>
  </si>
  <si>
    <t>Tripolar400</t>
  </si>
  <si>
    <t>Tripolar450</t>
  </si>
  <si>
    <t>Tripolar500</t>
  </si>
  <si>
    <t>Tripolar600</t>
  </si>
  <si>
    <t>Tripolar630</t>
  </si>
  <si>
    <t>Tripolar700</t>
  </si>
  <si>
    <t>Tripolar800</t>
  </si>
  <si>
    <t xml:space="preserve">Endereço: </t>
  </si>
  <si>
    <t>Av. Barbacena, 1200, Santo Agostinho, CEP 30190-131, BH - MG</t>
  </si>
  <si>
    <t>Gerência de Processos Especiais da Expansão de Média e Baixa Tensão - EM/PE</t>
  </si>
  <si>
    <t xml:space="preserve">Responsável / Área: </t>
  </si>
  <si>
    <t>Telefone: 0800 721 0167</t>
  </si>
  <si>
    <t>E-mail: geracaodistribuida@cemig.com.br</t>
  </si>
  <si>
    <t>E_Mínimo</t>
  </si>
  <si>
    <t>E_Máximo</t>
  </si>
  <si>
    <t>N_Mínimo</t>
  </si>
  <si>
    <t>N_Máximo</t>
  </si>
  <si>
    <t>Fuso_Escolhido</t>
  </si>
  <si>
    <t>Sim</t>
  </si>
  <si>
    <t>SE</t>
  </si>
  <si>
    <t>Potência Transformador</t>
  </si>
  <si>
    <t>Nº 1</t>
  </si>
  <si>
    <t>Nº 5</t>
  </si>
  <si>
    <t>Nº 8</t>
  </si>
  <si>
    <t>Outros Trafos Particulares</t>
  </si>
  <si>
    <t>Qte Potências</t>
  </si>
  <si>
    <t>Qte</t>
  </si>
  <si>
    <t>Potência</t>
  </si>
  <si>
    <t>è</t>
  </si>
  <si>
    <r>
      <t>Nota</t>
    </r>
    <r>
      <rPr>
        <vertAlign val="superscript"/>
        <sz val="11"/>
        <color theme="1"/>
        <rFont val="Calibri"/>
        <family val="2"/>
        <scheme val="minor"/>
      </rPr>
      <t>1</t>
    </r>
    <r>
      <rPr>
        <sz val="11"/>
        <color theme="1"/>
        <rFont val="Calibri"/>
        <family val="2"/>
        <scheme val="minor"/>
      </rPr>
      <t>: Os Técnicos em Eletrotécnica poderão projetar e dirigir instalações com potência até 800 kVA (Decreto nº 90.922/85)</t>
    </r>
  </si>
  <si>
    <t>Notas Explicativas:</t>
  </si>
  <si>
    <t>As informações contidas neste Formulário de Solicitação de Acesso devem estar em conformidade com o Diagrama Unifilar Básico e o Memorial Descritivo enviados à Cemig.</t>
  </si>
  <si>
    <t>1 - Número da Instalação: O número da unidade consumidora na qual será instalada a geração distribuída. Caso tratar-se de ligação nova, não preencher.</t>
  </si>
  <si>
    <t>2 - Grupo e Subgrupo: Informe o código de subgrupo aplicável conforme o nível de tensão para o grupo A ou finalidade para o grupo B.</t>
  </si>
  <si>
    <t>Grupo A - grupamento composto de unidades consumidoras com fornecimento em tensão igual ou superior a 2,3 kV</t>
  </si>
  <si>
    <t>Subgrupo</t>
  </si>
  <si>
    <t>Nível de Tensão</t>
  </si>
  <si>
    <t>Finalidade</t>
  </si>
  <si>
    <t>A1</t>
  </si>
  <si>
    <t>Igual ou superior a 230 kV</t>
  </si>
  <si>
    <t>B1</t>
  </si>
  <si>
    <t>Residencial</t>
  </si>
  <si>
    <t>A2</t>
  </si>
  <si>
    <t>88 kV a 138 kV</t>
  </si>
  <si>
    <t>B2</t>
  </si>
  <si>
    <t>Rural</t>
  </si>
  <si>
    <t>A3</t>
  </si>
  <si>
    <t>69 kV</t>
  </si>
  <si>
    <t>B3</t>
  </si>
  <si>
    <t>Industrial</t>
  </si>
  <si>
    <t>A3a</t>
  </si>
  <si>
    <t>30 kV a 44 kV</t>
  </si>
  <si>
    <t>Demais Classes</t>
  </si>
  <si>
    <t>A4</t>
  </si>
  <si>
    <t>2,3 kV a 25 kV</t>
  </si>
  <si>
    <t>B4</t>
  </si>
  <si>
    <t>Iluminação Pública</t>
  </si>
  <si>
    <t>Site para conversão de coordenadas geográficas: http://www.dpi.inpe.br/calcula/. Selecione o Datum: SIRGAS2000.</t>
  </si>
  <si>
    <t>As subestações tipo Nº 5 e Nº 8 somente são aplicáveis para potências de transformação até 300 kVA e não podem ser de uso compartilhado.</t>
  </si>
  <si>
    <t>De acordo com as definições contidas nas ND’s 5.1 e 5.2:</t>
  </si>
  <si>
    <t>De acordo com o item 3.2.2 da ND 5.30: “Conexão de microgeração particular em unidade consumidora pertencente ao empreendimento, para uso e benefício próprio desta única unidade consumidora, não envolvendo outras unidades do empreendimento: Nesta modalidade, deverá ser comprovada a propriedade do imóvel que abriga a unidade consumidora e as instalações de geração. Quando se tratar de empreendimentos com condomínio formalizado, e caso haja a utilização de áreas de uso comum para abrigar as instalações de geração, deverá ser comprovada a autorização do condomínio para utilização da área comum. Poderá ser utilizada a própria caixa de medição já existente na unidade consumidora, desde que esteja em bom estado de conservação e condições de segurança adequadas.”</t>
  </si>
  <si>
    <t>“Para os casos de aluguel, cessão ou arrendamento de áreas, telhados ou estruturas para instalação de microgeração em edificações coletivas e agrupamentos, deverá ser criada unidade consumidora adicional para conexão da central geradora e deverá ser comprovado o direito de posse do terreno, telhado ou estrutura pelo proprietário da usina. O titular da nova unidade consumidora com GD deverá ser o proprietário da usina”.</t>
  </si>
  <si>
    <t>• Edificações de uso coletivo (telhado coletivo ou em área comum do condomínio): Comprovação de posse do proprietário do imóvel e autorização do condomínio.</t>
  </si>
  <si>
    <t>• Edificações de uso coletivo (telhado independente e privativo): Comprovação de posse do proprietário do imóvel.</t>
  </si>
  <si>
    <t>• Agrupamentos: Comprovação de posse do proprietário do imóvel.</t>
  </si>
  <si>
    <t>• Aluguel, cessão ou arrendamento de áreas, telhados ou estruturas: Comprovação do direito de posse do terreno, telhado ou estrutura pelo proprietário da usina. Nestes casos será necessário criar uma unidade consumidora exclusiva para a microgeração, devendo ser provida caixa de medição adicional para abrigar o medidor bidirecional. Ao protocolar a solicitação de acesso, deve ser informado que se trata de uma ligação nova e devem ser atendidas as normas técnicas referentes a edificações coletivas (ND 5.2).</t>
  </si>
  <si>
    <t>ATENÇÃO: Por potência disponibilizada (Seção 1.1, Módulo 1, da Resolução Normativa nº 956/2021), considera-se a potência que o sistema elétrico da distribuidora deve dispor para atender aos equipamentos elétricos e instalações do usuário, calculada da seguinte forma:</t>
  </si>
  <si>
    <t>ATENÇÃO: O usuário deve atentar-se ao disposto no Art. 353 da Resolução Normativa ANEEL nº 1000/2021:</t>
  </si>
  <si>
    <t>Art. 353. A distribuidora deve suspender imediatamente o fornecimento de energia elétrica quando for constatada deficiência técnica ou de segurança nas instalações do consumidor e demais usuários, que caracterize risco iminente de danos a pessoas, bens ou ao funcionamento do sistema elétrico.</t>
  </si>
  <si>
    <t>(...)</t>
  </si>
  <si>
    <t>II - o aumento da geração instalada sem consulta à distribuidora, em qualquer hipótese</t>
  </si>
  <si>
    <t>Potência Total Módulos (kWp): Informe a potência elétrica total, em kWp, obtida a partir do efeito fotovoltaico, somando todos os módulos agrupados em arranjos.</t>
  </si>
  <si>
    <t>Potência Total Inversores (kW): Informe a potência nominal elétrica total, em kW, somando todas as saídas dos inversores, respeitadas limitações de potência decorrentes dos módulos, do controle de potência do inversor ou de outras restrições técnicas.</t>
  </si>
  <si>
    <t>3 - Classe: Informe a classificação da unidade consumidora em Residencial, Industrial, Comercial, Rural, Poder Público, Iluminação Pública ou Serviço Público.</t>
  </si>
  <si>
    <t>5 - Haverá Mudança de Local do Padrão de Entrada: Informe se haverá mudança de local do padrão de entrada de energia. Na planta de situação anexada indique o novo local da medição considerando as coordenadas informadas na seção “2 – Dados da Unidade Consumidora” deste formulário e os critérios permitidos nas normas técnicas da Cemig.</t>
  </si>
  <si>
    <t xml:space="preserve">  </t>
  </si>
  <si>
    <r>
      <rPr>
        <b/>
        <sz val="11"/>
        <color theme="1"/>
        <rFont val="Calibri"/>
        <family val="2"/>
        <scheme val="minor"/>
      </rPr>
      <t>Conexão de GD em Unidade Consumidora Existente COM Alteração de Potência Disponibilizada</t>
    </r>
    <r>
      <rPr>
        <sz val="11"/>
        <color theme="1"/>
        <rFont val="Calibri"/>
        <family val="2"/>
        <scheme val="minor"/>
      </rPr>
      <t>: no caso de solicitações de conexão de geração distribuída em unidade consumidora existente com alteração de potência disponibilizada, também deve ser informada a capacidade em amperes do novo disjuntor que está sendo solicitado para atendimento individual à instalação. Para unidades consumidoras do grupo B deverá também ser anexado, no APR Web, o Formulário de Análise de Carga específico para unidades individuais ou de atendimento coletivo.</t>
    </r>
  </si>
  <si>
    <r>
      <rPr>
        <b/>
        <sz val="11"/>
        <color theme="1"/>
        <rFont val="Calibri"/>
        <family val="2"/>
        <scheme val="minor"/>
      </rPr>
      <t>Conexão de GD em Unidade Consumidora Existente SEM Alteração de Potência Disponibilizada</t>
    </r>
    <r>
      <rPr>
        <sz val="11"/>
        <color theme="1"/>
        <rFont val="Calibri"/>
        <family val="2"/>
        <scheme val="minor"/>
      </rPr>
      <t>: trata-se de conexão de GD em unidade consumidora do grupo B (que não precisará alterar o disjuntor existente) ou do grupo A (que não precisará alterar o contrato de demanda - CUSD).</t>
    </r>
  </si>
  <si>
    <r>
      <rPr>
        <b/>
        <sz val="11"/>
        <color theme="1"/>
        <rFont val="Calibri"/>
        <family val="2"/>
        <scheme val="minor"/>
      </rPr>
      <t>Ligação de Nova Unidade Consumidora COM Geração Distribuída</t>
    </r>
    <r>
      <rPr>
        <sz val="11"/>
        <color theme="1"/>
        <rFont val="Calibri"/>
        <family val="2"/>
        <scheme val="minor"/>
      </rPr>
      <t>: as ligações de novas unidades consumidoras são as que podem ser caracterizadas por pontos de conexão ainda não atendidos pela concessionária. Para novas unidades consumidoras do grupo B deverá também ser anexado, no APR Web, o Formulário de Ligação Nova.</t>
    </r>
  </si>
  <si>
    <t>§ 1º Enquadram-se no caput:</t>
  </si>
  <si>
    <r>
      <rPr>
        <b/>
        <sz val="11"/>
        <color theme="1"/>
        <rFont val="Calibri"/>
        <family val="2"/>
        <scheme val="minor"/>
      </rPr>
      <t>Edificação Individual</t>
    </r>
    <r>
      <rPr>
        <sz val="11"/>
        <color theme="1"/>
        <rFont val="Calibri"/>
        <family val="2"/>
        <scheme val="minor"/>
      </rPr>
      <t>: É toda e qualquer construção, reconhecida pelos poderes públicos, contendo uma única unidade consumidora.</t>
    </r>
  </si>
  <si>
    <r>
      <rPr>
        <b/>
        <sz val="11"/>
        <color theme="1"/>
        <rFont val="Calibri"/>
        <family val="2"/>
        <scheme val="minor"/>
      </rPr>
      <t>Edificações de Uso Coletivo</t>
    </r>
    <r>
      <rPr>
        <sz val="11"/>
        <color theme="1"/>
        <rFont val="Calibri"/>
        <family val="2"/>
        <scheme val="minor"/>
      </rPr>
      <t>: É toda e qualquer construção, reconhecida pelos poderes públicos, constituída por duas ou mais unidades consumidoras, cujas áreas comuns, com consumo de energia, sejam juridicamente de responsabilidade do condomínio.</t>
    </r>
  </si>
  <si>
    <r>
      <rPr>
        <b/>
        <sz val="11"/>
        <color theme="1"/>
        <rFont val="Calibri"/>
        <family val="2"/>
        <scheme val="minor"/>
      </rPr>
      <t>Edificações Agrupadas ou Agrupamentos</t>
    </r>
    <r>
      <rPr>
        <sz val="11"/>
        <color theme="1"/>
        <rFont val="Calibri"/>
        <family val="2"/>
        <scheme val="minor"/>
      </rPr>
      <t>: Conjunto de edificações, reconhecidas pelos poderes públicos, constituído por duas ou mais unidades consumidoras, construídas no mesmo terreno ou em terrenos distintos sem separação física entre eles e juridicamente demarcada pela prefeitura e com área de circulação comum às unidades, sem caracterizar condomínio.</t>
    </r>
  </si>
  <si>
    <t>a) unidade consumidora do grupo A: a demanda contratada, expressa em quilowatts (kW); 
b) unidade consumidora do grupo B: a resultante da multiplicação da capacidade nominal de condução de corrente elétrica do dispositivo de proteção geral da unidade consumidora pela tensão nominal, observado o fator específico referente ao número de fases, expressa em quilovolt-ampère (kVA). Verifique as tabelas nas normas técnicas da Cemig.</t>
  </si>
  <si>
    <r>
      <rPr>
        <b/>
        <u/>
        <sz val="11"/>
        <color theme="1"/>
        <rFont val="Calibri"/>
        <family val="2"/>
        <scheme val="minor"/>
      </rPr>
      <t>Diante do exposto acima, será necessário apresentar documentação específica nos seguintes casos</t>
    </r>
    <r>
      <rPr>
        <sz val="11"/>
        <color theme="1"/>
        <rFont val="Calibri"/>
        <family val="2"/>
        <scheme val="minor"/>
      </rPr>
      <t>:</t>
    </r>
  </si>
  <si>
    <t>Observações:</t>
  </si>
  <si>
    <r>
      <t>Endereço de Correspondência</t>
    </r>
    <r>
      <rPr>
        <sz val="11"/>
        <color rgb="FFFF0000"/>
        <rFont val="Calibri"/>
        <family val="2"/>
        <scheme val="minor"/>
      </rPr>
      <t>*</t>
    </r>
    <r>
      <rPr>
        <sz val="11"/>
        <color theme="1"/>
        <rFont val="Calibri"/>
        <family val="2"/>
        <scheme val="minor"/>
      </rPr>
      <t>:</t>
    </r>
  </si>
  <si>
    <t>Nome do Consumidor ou Procurador Legal</t>
  </si>
  <si>
    <r>
      <t>Nome do Consumidor ou Procurador Legal</t>
    </r>
    <r>
      <rPr>
        <sz val="11"/>
        <color rgb="FFFF0000"/>
        <rFont val="Calibri"/>
        <family val="2"/>
        <scheme val="minor"/>
      </rPr>
      <t>*</t>
    </r>
    <r>
      <rPr>
        <sz val="11"/>
        <color theme="1"/>
        <rFont val="Calibri"/>
        <family val="2"/>
        <scheme val="minor"/>
      </rPr>
      <t>:</t>
    </r>
  </si>
  <si>
    <t>Endereço de Correspondência</t>
  </si>
  <si>
    <t>E-mail</t>
  </si>
  <si>
    <t>Tabela Disjuntores Geral</t>
  </si>
  <si>
    <t>Qte Disjuntor Geral:</t>
  </si>
  <si>
    <t>Qte Disjuntor Geral</t>
  </si>
  <si>
    <t>Valida o tipo de SE Nº 1 em ligação nova</t>
  </si>
  <si>
    <r>
      <t xml:space="preserve">O uso da subestação tipo Nº 1 foi descontinuado das normas Cemig, portanto </t>
    </r>
    <r>
      <rPr>
        <b/>
        <u/>
        <sz val="11"/>
        <color theme="1"/>
        <rFont val="Calibri"/>
        <family val="2"/>
        <scheme val="minor"/>
      </rPr>
      <t>NÃO</t>
    </r>
    <r>
      <rPr>
        <sz val="11"/>
        <color theme="1"/>
        <rFont val="Calibri"/>
        <family val="2"/>
        <scheme val="minor"/>
      </rPr>
      <t xml:space="preserve"> é permitida para ligação de novas Unidades Consumidoras usando esse padrão de construção</t>
    </r>
  </si>
  <si>
    <r>
      <t xml:space="preserve">    Local e data</t>
    </r>
    <r>
      <rPr>
        <b/>
        <sz val="11"/>
        <color rgb="FFFF0000"/>
        <rFont val="Calibri"/>
        <family val="2"/>
        <scheme val="minor"/>
      </rPr>
      <t>*</t>
    </r>
    <r>
      <rPr>
        <sz val="11"/>
        <color theme="1"/>
        <rFont val="Calibri"/>
        <family val="2"/>
        <scheme val="minor"/>
      </rPr>
      <t>:</t>
    </r>
  </si>
  <si>
    <t>Local e data</t>
  </si>
  <si>
    <t>Sinaliza tipo de SE</t>
  </si>
  <si>
    <t>Não</t>
  </si>
  <si>
    <t>Pot. Atual (kW)</t>
  </si>
  <si>
    <t>Identifica SE tipos Nº 2 ou Nº 4</t>
  </si>
  <si>
    <t>Identifica SE tipos Nº 1 ou Nº 5 ou Nº 8</t>
  </si>
  <si>
    <t>Indentifica SE tipo Nº 1</t>
  </si>
  <si>
    <t>Qte e potência do(s) transformador(es)</t>
  </si>
  <si>
    <t>TiposDisjuntores_Fases</t>
  </si>
  <si>
    <t>Sem Disj. Geral</t>
  </si>
  <si>
    <t>Disjuntor de Baixa Tensão</t>
  </si>
  <si>
    <t>Disjuntores das SE 1, 5 e 8</t>
  </si>
  <si>
    <t>Assinatura do Consumidor/Responsável Legal:</t>
  </si>
  <si>
    <r>
      <t>Celular</t>
    </r>
    <r>
      <rPr>
        <b/>
        <sz val="11"/>
        <color rgb="FFFF0000"/>
        <rFont val="Calibri"/>
        <family val="2"/>
        <scheme val="minor"/>
      </rPr>
      <t>*</t>
    </r>
    <r>
      <rPr>
        <sz val="11"/>
        <color theme="1"/>
        <rFont val="Calibri"/>
        <family val="2"/>
        <scheme val="minor"/>
      </rPr>
      <t>:</t>
    </r>
  </si>
  <si>
    <t>Celular</t>
  </si>
  <si>
    <r>
      <t>Celular</t>
    </r>
    <r>
      <rPr>
        <sz val="11"/>
        <color rgb="FFFF0000"/>
        <rFont val="Calibri"/>
        <family val="2"/>
        <scheme val="minor"/>
      </rPr>
      <t>*</t>
    </r>
    <r>
      <rPr>
        <sz val="11"/>
        <color theme="1"/>
        <rFont val="Calibri"/>
        <family val="2"/>
        <scheme val="minor"/>
      </rPr>
      <t>:</t>
    </r>
  </si>
  <si>
    <t>Valida o somatório das potências dos trafos em relação à Potência Ativa Instalada</t>
  </si>
  <si>
    <t>Sem Alter. Carga</t>
  </si>
  <si>
    <t>Revisão</t>
  </si>
  <si>
    <t>Data</t>
  </si>
  <si>
    <t>Modificação</t>
  </si>
  <si>
    <t>i</t>
  </si>
  <si>
    <t>Tabela Disjuntores Revisada 06/10/2022</t>
  </si>
  <si>
    <t>Tabela Disjuntores Padronizados na ND 5.1</t>
  </si>
  <si>
    <t>Atualização da carga de acordo com o disjuntor instalado
Criação da tabela de disjuntores padronizados
Alteração das fórmulas dos disjuntores</t>
  </si>
  <si>
    <t>j</t>
  </si>
  <si>
    <t>Inclusão do formulário de Segurança de Barragens</t>
  </si>
  <si>
    <t>1) A altura da barragem, contada do ponto mais baixo da fundação à crista, é maior ou igual a 15m (quinze metros)?</t>
  </si>
  <si>
    <t>2) Volume Total do Reservatório para barragens de uso múltiplo ou aproveitamento energético:</t>
  </si>
  <si>
    <t xml:space="preserve">Muito Pequeno ( Se o Volume Total do Reservatório for &lt; 3.000.000m³ ) </t>
  </si>
  <si>
    <t xml:space="preserve">Pequeno ( Se o Volume Total do Reservatório for &gt;= 3.000.000m³ e &lt;= 5.000.000m³ ) </t>
  </si>
  <si>
    <t xml:space="preserve">Médio ( Se o Volume Total do Reservatório for &gt; 5.000.000m³ e &lt;= 75.000.000m³ ) </t>
  </si>
  <si>
    <t xml:space="preserve">Grande ( Se o Volume Total do Reservatório for &gt; 75.000.000m³ e &lt;= 200.000.000m³ ) </t>
  </si>
  <si>
    <t>Muito Grande ( Se o Volume Total do Reservatório for &gt; 200.000.000m³ )</t>
  </si>
  <si>
    <t>3) Potencial de perdas de vidas humanas:</t>
  </si>
  <si>
    <t xml:space="preserve">INEXISTENTE (não existem pessoas permanentes/residentes ou temporárias/transitando na área afetada a jusante da barragem) </t>
  </si>
  <si>
    <t>POUCO FREQUENTE (não existem pessoas ocupando permanentemente a área afetada a jusante da barragem, mas existe estrada vicinal de uso local.)</t>
  </si>
  <si>
    <t>FREQUENTE (não existem pessoas ocupando permanentemente a área afetada a jusante da barragem, mas existe rodovia municipal, estadual, federal ou outro local e/ou empreendimento de permanência eventual de pessoas que poderão ser atingidas.)</t>
  </si>
  <si>
    <t>EXISTENTE (existem pessoas ocupando permanentemente a área afetada a jusante da barragem, portanto, vidas humanas poderão ser atingidas.)</t>
  </si>
  <si>
    <t>4) Impacto ambiental:</t>
  </si>
  <si>
    <t>SIGNIFICATIVO (área afetada da barragem não representa área de interesse ambiental, áreas protegidas em legislação específica ou encontra-se totalmente descaracterizada de suas condições naturais)</t>
  </si>
  <si>
    <t>MUITO SIGNIFICATIVO (área afetada da barragem apresenta interesse ambiental relevante ou protegida em legislação específica)</t>
  </si>
  <si>
    <t>5) Impacto sócio-econômico:</t>
  </si>
  <si>
    <t xml:space="preserve">INEXISTENTE (não existem quaisquer instalações e servicos de navegacao na área afetada por acidente da barragem) </t>
  </si>
  <si>
    <t xml:space="preserve">BAIXO (existe pequena concentração de instalações residenciais e comerciais, agrícolas, industriais ou de infraestrutura na área afetada da barragem ou instalações portuárias ou servicos de navegacao) </t>
  </si>
  <si>
    <t>ALTO (existe grande concentração de instalações residenciais e comerciais, agrícolas, industriais, de infraestrutura e servicos de lazer e turismo na área afetada da barragem ou instalações portuárias ou servicos de navegacao)</t>
  </si>
  <si>
    <t>APENAS PARA FONTE HÍDRICA. Responda com base na LEI N° 12.334, de 20 de setembro de 2010 e na Resolução Normativa N° 696, de 15 de dezembro de 2015.</t>
  </si>
  <si>
    <t>Dados de Segurança das Barragens no caso de sistemas com fontes hídricas</t>
  </si>
  <si>
    <t>Declaração</t>
  </si>
  <si>
    <t>Assinatura do Cliente/Responsável Legal:</t>
  </si>
  <si>
    <t>Declaro, para fins de direito, sob as penas da lei e em atendimento à Resolução Normativa n° 696, de 15 de dezembro de 2015 , que as informações prestadas neste sistema são verdadeiras, autênticas e condizentes com a realidade da barragem e/ou do dique da central geradora em referência.
Nada mais a declarar, e ciente das responsabilidades pelas declarações prestadas, submeto este formulário.
Estou ciente que a falsidade dos dados configura crime previsto no Código Penal Brasileiro e passível de apuração na forma da Lei.</t>
  </si>
  <si>
    <t>Gerência de Processos Especiais de Expansão da Média e Baixa Tensão - EM/PE - Revisão k - 14/03/2023</t>
  </si>
  <si>
    <t>k</t>
  </si>
  <si>
    <t>Formulário de Segurança de Barragens incluído no corpo do formulário principal</t>
  </si>
  <si>
    <t>3 – DOCUMENTAÇÃO DA UC A SER ANEXADA (NOVA UC OU ALTERAÇÃO DE POTÊNCIA)</t>
  </si>
  <si>
    <t>Possui sistema de armazenamento de energia:</t>
  </si>
  <si>
    <t>3.1 -Documentos de identificação do consumidor, conforme incisos I e II do art. 67 da Resolução Normativa nº 1.000/2021.</t>
  </si>
  <si>
    <t>3.2 - Formulário de Análise de Carga, com os respectivos anexos necessários (para solicitação de Ligação Nova de Unidade Consumidora com GD ou conexão de GD com aumento ou redução de potência disponibilizada).</t>
  </si>
  <si>
    <t>3.3 - Informação das cargas que possam provocar perturbações no sistema de distribuição.</t>
  </si>
  <si>
    <t>3.4 - Informação e documentação das atividades desenvolvidas nas instalações.</t>
  </si>
  <si>
    <t>3.5 - Apresentação de licença ou declaração emitida pelo órgão competente caso as instalações ou a extensão de rede de responsabilidade do consumidor e demais usuários ocuparem áreas protegidas pela legislação, tais como unidades de conservação, reservas legais, áreas de preservação permanente, territórios indígenas e quilombolas.</t>
  </si>
  <si>
    <t>Tipo de Fonte Primária:</t>
  </si>
  <si>
    <t>Tipo de geração</t>
  </si>
  <si>
    <t>Empregando máquina síncrona sem conversor</t>
  </si>
  <si>
    <t>Empregando conversor eletrônico/inversor</t>
  </si>
  <si>
    <t>Mista</t>
  </si>
  <si>
    <t>Outra (especificar):</t>
  </si>
  <si>
    <t>Tipo de geração:</t>
  </si>
  <si>
    <t xml:space="preserve"> Modalidade de Compensação de Excedentes</t>
  </si>
  <si>
    <t>Autoconsumo remoto</t>
  </si>
  <si>
    <t>Geração compartilhada</t>
  </si>
  <si>
    <t>Múltiplas Unidades Consumidoras</t>
  </si>
  <si>
    <t>4 – DADOS DA GERAÇÃO</t>
  </si>
  <si>
    <t>5 - DADOS DO SISTEMA DE ARMAZENAMENTO DE ENERGIA</t>
  </si>
  <si>
    <t>6 – DOCUMENTAÇÃO TÉCNICA A SER ANEXADA (OBRIGATÓRIA)</t>
  </si>
  <si>
    <t>6.1 - Documento de responsabilidade técnica (projeto e execução) do conselho profissional competente, que identifique o número do registro válido e o nome do responsável técnico, o local da obra ou serviço e as atividades profissionais desenvolvidas</t>
  </si>
  <si>
    <t>6.2 - Memorial descritivo da instalação contendo a planta de situação com indicação do local do padrão de entrada, conforme Normas Técnicas de Distribuição ND 5.1 e ND 5.2 ou indicação do local da subestação de entrada, conforme ND 5.3 e modelos disponibilizados no site da Cemig.</t>
  </si>
  <si>
    <t>6.3 - Diagrama unifilar e de blocos do sistema de geração, carga e proteção.</t>
  </si>
  <si>
    <t>6.4 - Relatório de ensaio, em língua portuguesa, atestando a conformidade de todos os conversores de potência para a tensão nominal de conexão com a rede, sempre que houver a utilização de conversores. (incluindo conversores para geração e armazenamento de energia)</t>
  </si>
  <si>
    <t>6.5 - Dados necessários ao registro da central geradora distribuída conforme disponível no site da ANEEL.</t>
  </si>
  <si>
    <t xml:space="preserve">3.6.2 - Para imóveis rurais apresentar o documento de Cadastro Ambiental Rural – CAR. O CAR é um registro público eletrônico de âmbito nacional, Lei nº 12.651/2012, obrigatório para todos os imóveis rurais. </t>
  </si>
  <si>
    <t>3.6.3 - Documento que comprove o direito de posse pelo proprietário da central geradora em casos de aluguel, cessão ou arrendamento de áreas, telhados ou estruturas. (Caso aplicável)</t>
  </si>
  <si>
    <t>3.6.4 - Documento fornecido pelo condomínio que comprove autorização de uso de área comum da edificação coletiva para instalação de central geradora de uso particular da unidade em questão. (Caso aplicável)</t>
  </si>
  <si>
    <t>6.7 - Cópia de instrumento jurídico que comprove a participação dos integrantes para os casos de múltiplas unidades consumidoras e geração compartilhada. (Caso aplicável)</t>
  </si>
  <si>
    <t>6.8 - Documento que comprove o reconhecimento, pela ANEEL, da cogeração qualificada (Caso aplicável)</t>
  </si>
  <si>
    <t>6.9 - Dados de segurança das barragens no caso do uso de sistemas com fontes hídricas, conforme Resolução Normativa nº 696/2015. Preencher ao final do formulário. (Caso aplicável)</t>
  </si>
  <si>
    <t>6.10 - Para centrais fotovoltaicas enquadradas como despacháveis, comprovação de que o sistema de armazenamento atende o disposto no art. 655-B da Resolução Normativa nº 1.000/2021. (Caso aplicável)</t>
  </si>
  <si>
    <t>8 – SOLICITAÇÕES E DECLARAÇÕES</t>
  </si>
  <si>
    <t>8.3 - Autorizo a distribuidora a entregar junto com o orçamento de conexão os contratos e o documento ou meio para pagamento de custos de minha responsabilidade. (Opcional)</t>
  </si>
  <si>
    <t>X</t>
  </si>
  <si>
    <t>7 – CONTATO NA DISTRIBUIDORA (preenchido pela Distribuidora)</t>
  </si>
  <si>
    <t>9 – SOLICITANTE</t>
  </si>
  <si>
    <t>MG</t>
  </si>
  <si>
    <r>
      <t xml:space="preserve">Localização </t>
    </r>
    <r>
      <rPr>
        <b/>
        <sz val="11"/>
        <color indexed="8"/>
        <rFont val="Calibri"/>
        <family val="2"/>
      </rPr>
      <t>em Coordenadas UTM -</t>
    </r>
    <r>
      <rPr>
        <sz val="11"/>
        <color theme="1"/>
        <rFont val="Calibri"/>
        <family val="2"/>
        <scheme val="minor"/>
      </rPr>
      <t xml:space="preserve"> Ponto de Conexão:</t>
    </r>
  </si>
  <si>
    <t>4 - Localização em Coordenadas: Informe as coordenadas da localização do ponto de conexão da energia no formato UTM Modelo: "6 dígitos numéricos, 7 dígitos numéricos". Obrigatório informar Fuso, E (Abscissa) e N (Ordenada). A central geradora deverá estar conectada a no máximo 5,0 metros da divisa da propriedade em áreas urbanas e a no máximo 30 metros da primeira estrutura na propriedade do consumidor em áreas rurais.</t>
  </si>
  <si>
    <r>
      <rPr>
        <b/>
        <sz val="11"/>
        <color theme="1"/>
        <rFont val="Calibri"/>
        <family val="2"/>
        <scheme val="minor"/>
      </rPr>
      <t>GD Existente COM Alteração de Potência Ativa Instalada Total</t>
    </r>
    <r>
      <rPr>
        <sz val="11"/>
        <color theme="1"/>
        <rFont val="Calibri"/>
        <family val="2"/>
        <scheme val="minor"/>
      </rPr>
      <t>: trata-se de unidade consumidora existente na qual já possui geração distribuída e o acessante deseja alterar a potência de injeção da central geradora.</t>
    </r>
  </si>
  <si>
    <t>6 - Grupo Motor Gerador de Emergência - Diesel ou Gás (kVA): Caso exista outra modalidade de geração, com operação em paralelo com a Cemig, e que não seja habilitada para o sistema de compensação de energia, tal como geração a diesel, ela deverá contar com disjuntor independente, com as funções de proteção ANSI conforme especificações das ND’s 5.30 e 5.31.</t>
  </si>
  <si>
    <t>7 - Transformador particular (kVA): Informe a potência instalada de transformação da subestação de entrada ou o arranjo de transformadores utilizados.</t>
  </si>
  <si>
    <t>8 - Tipo de Subestação Conforme ND 5.3: Para a construção da subestação de entrada de média tensão o cliente deve optar por um dos tipos de subestações, considerando suas aplicações e características, que podem ser consultadas no site da Cemig pelo endereço eletrônico: https://www.cemig.com.br/wp-content/uploads/2020/07/nd5_3_000001p.pdf</t>
  </si>
  <si>
    <t>9 - Tipo de Padrão de Entrada: Neste campo deverá ser informado a capacidade em amperes do disjuntor individual do padrão Cemig que atende à instalação. Se existir disjuntor geral, no caso de mais de uma unidade consumidora, informe a corrente nominal do disjuntor geral instalado. Caso haja modificações no padrão de entrada de uso coletivo com disjuntor geral, é necessário solicitar uma vistoria do quadro de medição coletivo antes do pedido de vistoria e conexão da GD.</t>
  </si>
  <si>
    <t>10 - Disjuntor Solicitado para Alteração de Carga: Informe a capacidade do novo disjuntor, caso haja necessidade de alteração de carga. Vale destacar que deverá ser anexado também o formulário de alteração de carga com informações específicas.</t>
  </si>
  <si>
    <t>11 - Tensão de Atendimento (V): Tensão nominal do ponto de conexão com a rede da concessionária.</t>
  </si>
  <si>
    <t>L</t>
  </si>
  <si>
    <t>Adequação da REN 1059 - Mesma versão da REV_k -PAD</t>
  </si>
  <si>
    <t>Tensão SE N° 2 + Ligação nova</t>
  </si>
  <si>
    <t>Para fonte diferente da original, deverá ser realizada solicitação de ligação nova.</t>
  </si>
  <si>
    <t>O telhado será arrendado para uma pessoa/empresa diferente do proprietário do telhado:</t>
  </si>
  <si>
    <t>M</t>
  </si>
  <si>
    <t>O padrão a ser ligado está a uma distância menor que 30 metros do poste da CEMIG?:</t>
  </si>
  <si>
    <t>12 - Localização dos Módulos Solares:</t>
  </si>
  <si>
    <t>13 - Tipo de Solicitação:</t>
  </si>
  <si>
    <t>14 - Modalidade de compensação: Modalidade de alocação de créditos utilizada no sistema de compensação de energia elétrica.</t>
  </si>
  <si>
    <t>15 - Potência Ativa Instalada Total de Geração (kW): Corresponde à máxima potência ativa gerada pela central geradora, em kW. Para centrais geradoras fotovoltaicas, trata-se do menor valor entre a Potência Total dos Inversores (kW) e a Potência Total dos Módulos (kWp).</t>
  </si>
  <si>
    <t>16 - Tipo de fonte renovável de energia elétrica ou cogeração qualificada (conforme Resolução Normativa nº 235/2006) utilizada pela central geradora.</t>
  </si>
  <si>
    <t>17 - Dados para Sistema de Registro de Geração Distribuída – SISGD de Outorga ou Registro.</t>
  </si>
  <si>
    <t>18 - Dados para Sistema de Registro de Geração Distribuída – SISGD - Central Geradora Fotovoltaica.</t>
  </si>
  <si>
    <t>19 - Dados para Sistema de Registro de Geração Distribuída – SISGD Central Geradora Hidrelétrica - CGH.</t>
  </si>
  <si>
    <t>20 - Dados para Sistema de Registro de Geração Distribuída – SISGD de Central Geradora Térmica - UTE.</t>
  </si>
  <si>
    <t>21 - Dados para Sistema de Registro de Geração Distribuída – SISGD de Central Geradora Eólica - EOL.</t>
  </si>
  <si>
    <t>Para o item 8.1</t>
  </si>
  <si>
    <t>O padrão está a uma distância menor que 30 metros</t>
  </si>
  <si>
    <t>O telhado será arrendado</t>
  </si>
  <si>
    <t>M1</t>
  </si>
  <si>
    <t>Correção dos alertas e ajuste do texto do item 8.1</t>
  </si>
  <si>
    <t>Inclusão sobre instalação no telhado
Retirado Tipo do Ramal
Incluir padrão a distancia menor que 30 metros
Alterar texto do item 8.1</t>
  </si>
  <si>
    <t>Pergunta</t>
  </si>
  <si>
    <t>BT</t>
  </si>
  <si>
    <t>MT</t>
  </si>
  <si>
    <t>8.1 - O padrão está pronto para ser ligado e a usina está instalada?</t>
  </si>
  <si>
    <t>8.1 - A subestação está pronta para ser ligada e a usina está instalada?</t>
  </si>
  <si>
    <t xml:space="preserve">Para a resposta do item 8.1 = 'Sim', o pedido de vistoria e ligação será disparado automaticamente após conclusão das etapas do orçamento de conexão. Lembrando que o orçamento de conexão poderá ser cancelado em caso de duas reprovações pelo mesmo motivo e que há cobrança de taxa a partir do segundo serviço realizado. </t>
  </si>
  <si>
    <t>8.2 - Renuncio ao direito de desistir do orçamento de conexão nos termos da resolução ANEEL vigente. (Opcional)</t>
  </si>
  <si>
    <t>8.4 - Declaro que as instalações internas da minha unidade consumidora, incluindo a geração distribuída, atendem às normas e padrões da distribuidora, às normas da Associação Brasileira de Normas Técnicas - ABNT e às normas dos órgãos oficiais competentes, e ao art. 8º da Lei nº 9.074, de 1995, naquilo que for aplicável. (Obrigatório)</t>
  </si>
  <si>
    <t>Para a resposta do item 8.1 = 'Não', você deve solicitar seu pedido de vistoria e ligação em até 120 dias após a conclusão das etapas do orçamento de conexão</t>
  </si>
  <si>
    <t>CargaInstalada</t>
  </si>
  <si>
    <t>Carga Instalada</t>
  </si>
  <si>
    <t>* detalhamento da forma de operação em conjunto com a geração, incluindoo os horários e patamares de injeção de potência na rede de distribuição;</t>
  </si>
  <si>
    <t>* apresentação de certificação dos conversores dos sistemas de armazenamento;</t>
  </si>
  <si>
    <t>* detalhamento do sistema de proteção para operação isolada.</t>
  </si>
  <si>
    <t>* necessidade de previsão no projeto elétrico, com diagrama elétrico que contemple o sistema de armazenamento;</t>
  </si>
  <si>
    <t xml:space="preserve">22 - Para o sistema de armazenamento seguir o disposto na REN 1.000/2021 e normas da distribuidora ND 5.30 e ND 5.31. Se atentar para: </t>
  </si>
  <si>
    <t>No caso de telhado arrendado, foram representadas as 2 instalações no DUB e memorial descritivo?</t>
  </si>
  <si>
    <t>BT - Baixa Tensão</t>
  </si>
  <si>
    <t>MT - Média Tensão</t>
  </si>
  <si>
    <t>Número da instalação existente no local:</t>
  </si>
  <si>
    <t>A instalação existente é atendida em BT ou MT:</t>
  </si>
  <si>
    <t>Demanda contratada de consumo*:</t>
  </si>
  <si>
    <t>kW</t>
  </si>
  <si>
    <t>Demanda contratada de geração:</t>
  </si>
  <si>
    <t>*Potência em relação ao consumo da UC (Não incluir potência dos transformadores, inversores ou placas)</t>
  </si>
  <si>
    <t>N1</t>
  </si>
  <si>
    <t>1) a unidade consumidora será enquadrada na modalidade autoconsumo local;</t>
  </si>
  <si>
    <t>2) fica vedada, em qualquer hipótese, a alocação ou realocação de excedentes ou de créditos de energia em unidade consumidora distinta de onde ocorreu a geração de energia elétrica, afastando-se as disposições de que trata o art. 655-M da Resolução Normativa nº 1.000/2021; e</t>
  </si>
  <si>
    <t>3) para alteração de enquadramento da modalidade da microgeração deverá ser encerrado o contrato e solicitado novo orçamento de conexão, vedada a aplicação do art. 655-M.</t>
  </si>
  <si>
    <r>
      <t xml:space="preserve">Solicito o afastamento da análise de inversão de fluxo, nos termos do inciso III do </t>
    </r>
    <r>
      <rPr>
        <b/>
        <sz val="11"/>
        <color theme="1"/>
        <rFont val="Calibri"/>
        <family val="2"/>
        <scheme val="minor"/>
      </rPr>
      <t>caput</t>
    </r>
    <r>
      <rPr>
        <sz val="11"/>
        <color theme="1"/>
        <rFont val="Calibri"/>
        <family val="2"/>
        <scheme val="minor"/>
      </rPr>
      <t xml:space="preserve"> do art. 73-A da Resolução Normativa nº 1.000/2021, e declaro estar ciente de que: </t>
    </r>
  </si>
  <si>
    <t xml:space="preserve">Declaro também reconhecer que essa opção é irrevogável e irretratável, implicando no meu dever de observar o que estabelece o art. 73-A da referida Resolução. </t>
  </si>
  <si>
    <t xml:space="preserve">    Local e data:</t>
  </si>
  <si>
    <t>6.6 - Lista de unidades consumidoras participantes do sistema de compensação, indicando o percentual ou a ordem de utilização dos excedentes. (Opcional)</t>
  </si>
  <si>
    <t>8.5 - Solicito dispensa da análise de inversão de fluxo por enquadramento no art. 73-A, na seguinte regra: (Opcional)</t>
  </si>
  <si>
    <t>8.6 - Declaro, para todos os fins, que todas as informações prestadas neste documento são verdadeiras. (Obrigatório)</t>
  </si>
  <si>
    <t>Inclusão das perguntas sobre arrendamento do detalhada
Inclusão de demanda contratada de consumo e geração para consumidores do grupo A
Retirado número do cliente (PN)
Inclusão do FAST TRACK de acordo com a REN 1098</t>
  </si>
  <si>
    <t>Autoconsumo local</t>
  </si>
  <si>
    <t>Solar</t>
  </si>
  <si>
    <t>Seleção</t>
  </si>
  <si>
    <t>Deseja enquadramento no inciso III do art. 73-A ("FAST TRACK")?</t>
  </si>
  <si>
    <t>N2</t>
  </si>
  <si>
    <t>Divisão dos dados da geração para separar módulos e inversores
Formatação para aparecer apenas a modalidade Autoconsumo local para FAST TRACK</t>
  </si>
  <si>
    <t>Modalidade para seleção de acordo com FAST TRACK ou NÃO</t>
  </si>
  <si>
    <t>FAST TRACK está com potência acima?</t>
  </si>
  <si>
    <t>Limite de potência</t>
  </si>
  <si>
    <t>Potência informada no formulário</t>
  </si>
  <si>
    <t>8.5.3 - modalidade autoconsumo local, com potência instalada de geração igual ou inferior a 7,5 kW, observado o item 10</t>
  </si>
  <si>
    <r>
      <t>Classe</t>
    </r>
    <r>
      <rPr>
        <sz val="11"/>
        <color rgb="FFFF0000"/>
        <rFont val="Calibri"/>
        <family val="2"/>
        <scheme val="minor"/>
      </rPr>
      <t>*</t>
    </r>
    <r>
      <rPr>
        <sz val="11"/>
        <color theme="1"/>
        <rFont val="Calibri"/>
        <family val="2"/>
        <scheme val="minor"/>
      </rPr>
      <t>:</t>
    </r>
  </si>
  <si>
    <t>Possui Grupo Motor Gerador de Emergência em Paralelo com a Cemig - Diesel ou Gás?:</t>
  </si>
  <si>
    <t>Se "Sim" informar Potência (kVA):</t>
  </si>
  <si>
    <t xml:space="preserve">10 – TERMO DE ACEITE DAS CONDIÇÕES PARA AFASTAMENTO DA ANÁLISE DE INVERSÃO DE FLUXO </t>
  </si>
  <si>
    <t>N3</t>
  </si>
  <si>
    <t>B</t>
  </si>
  <si>
    <t>3.6.1 - Documento com data que comprove a propriedade ou posse do imóvel onde será implantada a unidade consumidora com microgeração distribuída, e que, no caso de unidade flutuante, deve ser complementado por autorização, licença ou documento equivalente exigível pelas autoridades competentes para a instalação flutuante, observada a possibilidade de dispensa prevista na Resolução Normativa nº 1.000/2021.</t>
  </si>
  <si>
    <t>Alteração na ordem do texto para fonte SOLAR
Retirada automática do item 10 para que não ocorram assinaturas indevidas para FAST TRACK
Alteração do texto do item 3.6.1</t>
  </si>
  <si>
    <t xml:space="preserve">O empreendimento será "Grid Zero"?: </t>
  </si>
  <si>
    <t>8.5.2 - enquadramento nos critérios de gratuidade da REN 1.000/2021 e potência de geração compatível com o consumo no horário de geração. O enquadramento será analisado pela distribuidora de acordo com critérios definidos pela ANEEL.</t>
  </si>
  <si>
    <t>8.5.1 - não injeção na rede de distribuição de energia elétrica (“Grid Zero”) - Verificar Seção 2 Dados da Unidade Consumidora</t>
  </si>
  <si>
    <r>
      <t>8.5 - Solicito dispensa da análise de inversão de fluxo por enquadramento no art. 73-A, na seguinte regra:</t>
    </r>
    <r>
      <rPr>
        <sz val="8"/>
        <color theme="1"/>
        <rFont val="Calibri"/>
        <family val="2"/>
        <scheme val="minor"/>
      </rPr>
      <t xml:space="preserve"> (Opcional - Selecione  apenas 1 item)</t>
    </r>
  </si>
  <si>
    <r>
      <t xml:space="preserve">8.5.1 - não injeção na rede de distribuição de energia elétrica (“Grid Zero”). </t>
    </r>
    <r>
      <rPr>
        <sz val="9"/>
        <color theme="1"/>
        <rFont val="Calibri"/>
        <family val="2"/>
        <scheme val="minor"/>
      </rPr>
      <t>(Verificar Seção 2 Dados da Unidade Consumidora)</t>
    </r>
  </si>
  <si>
    <r>
      <rPr>
        <sz val="11"/>
        <color theme="1"/>
        <rFont val="Calibri"/>
        <family val="2"/>
        <scheme val="minor"/>
      </rPr>
      <t xml:space="preserve">8.5.2 - enquadramento nos critérios de gratuidade da REN 1.000/2021 e potência de geração compatível com o consumo no horário de geração. </t>
    </r>
    <r>
      <rPr>
        <sz val="9"/>
        <color theme="1"/>
        <rFont val="Calibri"/>
        <family val="2"/>
        <scheme val="minor"/>
      </rPr>
      <t>(O enquadramento será analisado pela distribuidora de acordo com critérios definidos pela ANEEL.)</t>
    </r>
  </si>
  <si>
    <t>N4</t>
  </si>
  <si>
    <t>Opção de GRID ZERO próximo da opção de FAST TRACK
Número de potência de módulo e inversores com validação de dados</t>
  </si>
  <si>
    <t>Gerência de Processos Especiais de Expansão de Média e Baixa Tensão - EM/PE - Revisão N4 - 03/12/2024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</si>
</sst>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lt;100000000000]000\.000\.000\-00;00\.000\.000\/0000\-00"/>
    <numFmt numFmtId="165" formatCode="\(##\)\ ####\-####"/>
    <numFmt numFmtId="166" formatCode="\(##\)\ #\ ####\-####"/>
    <numFmt numFmtId="167" formatCode="00000\-000"/>
  </numFmts>
  <fonts count="28" x14ac:knownFonts="1">
    <font>
      <sz val="11"/>
      <color theme="1"/>
      <name val="Calibri"/>
      <family val="2"/>
      <scheme val="minor"/>
    </font>
    <font>
      <sz val="11"/>
      <color indexed="10"/>
      <name val="Calibri"/>
      <family val="2"/>
    </font>
    <font>
      <b/>
      <sz val="11"/>
      <color indexed="8"/>
      <name val="Calibri"/>
      <family val="2"/>
    </font>
    <font>
      <sz val="11"/>
      <color rgb="FF0070C0"/>
      <name val="Calibri"/>
      <family val="2"/>
      <scheme val="minor"/>
    </font>
    <font>
      <b/>
      <sz val="11"/>
      <color theme="0"/>
      <name val="Calibri"/>
      <family val="2"/>
      <scheme val="minor"/>
    </font>
    <font>
      <b/>
      <sz val="11"/>
      <color theme="1"/>
      <name val="Calibri"/>
      <family val="2"/>
      <scheme val="minor"/>
    </font>
    <font>
      <sz val="11"/>
      <color rgb="FFFF0000"/>
      <name val="Calibri"/>
      <family val="2"/>
      <scheme val="minor"/>
    </font>
    <font>
      <b/>
      <sz val="12"/>
      <color theme="1"/>
      <name val="Calibri"/>
      <family val="2"/>
      <scheme val="minor"/>
    </font>
    <font>
      <sz val="10"/>
      <color theme="1"/>
      <name val="Calibri"/>
      <family val="2"/>
      <scheme val="minor"/>
    </font>
    <font>
      <sz val="8"/>
      <color rgb="FFFF0000"/>
      <name val="Calibri"/>
      <family val="2"/>
      <scheme val="minor"/>
    </font>
    <font>
      <b/>
      <sz val="14"/>
      <color theme="1"/>
      <name val="Calibri"/>
      <family val="2"/>
      <scheme val="minor"/>
    </font>
    <font>
      <sz val="12"/>
      <color theme="1"/>
      <name val="Calibri"/>
      <family val="2"/>
      <scheme val="minor"/>
    </font>
    <font>
      <sz val="10"/>
      <color theme="1"/>
      <name val="Times New Roman"/>
      <family val="1"/>
    </font>
    <font>
      <sz val="11"/>
      <color theme="8" tint="-0.249977111117893"/>
      <name val="Calibri"/>
      <family val="2"/>
      <scheme val="minor"/>
    </font>
    <font>
      <b/>
      <sz val="11"/>
      <color theme="1"/>
      <name val="Times New Roman"/>
      <family val="1"/>
    </font>
    <font>
      <b/>
      <sz val="11"/>
      <color rgb="FF0070C0"/>
      <name val="Calibri"/>
      <family val="2"/>
      <scheme val="minor"/>
    </font>
    <font>
      <sz val="8"/>
      <name val="Calibri"/>
      <family val="2"/>
      <scheme val="minor"/>
    </font>
    <font>
      <sz val="8"/>
      <color theme="1" tint="0.34998626667073579"/>
      <name val="Wingdings"/>
      <charset val="2"/>
    </font>
    <font>
      <vertAlign val="superscript"/>
      <sz val="11"/>
      <color theme="1"/>
      <name val="Calibri"/>
      <family val="2"/>
      <scheme val="minor"/>
    </font>
    <font>
      <b/>
      <u/>
      <sz val="11"/>
      <color theme="1"/>
      <name val="Calibri"/>
      <family val="2"/>
      <scheme val="minor"/>
    </font>
    <font>
      <b/>
      <sz val="11"/>
      <color rgb="FFFF0000"/>
      <name val="Calibri"/>
      <family val="2"/>
      <scheme val="minor"/>
    </font>
    <font>
      <sz val="11"/>
      <color theme="1"/>
      <name val="Calibri"/>
      <family val="2"/>
    </font>
    <font>
      <sz val="11"/>
      <color theme="1"/>
      <name val="Calibri"/>
      <family val="2"/>
      <scheme val="minor"/>
    </font>
    <font>
      <sz val="7"/>
      <color rgb="FFFF0000"/>
      <name val="Calibri"/>
      <family val="2"/>
      <scheme val="minor"/>
    </font>
    <font>
      <sz val="8"/>
      <color theme="1"/>
      <name val="Calibri"/>
      <family val="2"/>
      <scheme val="minor"/>
    </font>
    <font>
      <b/>
      <sz val="8"/>
      <color rgb="FF0070C0"/>
      <name val="Calibri"/>
      <family val="2"/>
      <scheme val="minor"/>
    </font>
    <font>
      <sz val="11"/>
      <name val="Calibri"/>
      <family val="2"/>
      <scheme val="minor"/>
    </font>
    <font>
      <sz val="9"/>
      <color theme="1"/>
      <name val="Calibri"/>
      <family val="2"/>
      <scheme val="minor"/>
    </font>
  </fonts>
  <fills count="10">
    <fill>
      <patternFill patternType="none"/>
    </fill>
    <fill>
      <patternFill patternType="gray125"/>
    </fill>
    <fill>
      <patternFill patternType="solid">
        <fgColor rgb="FF92D050"/>
        <bgColor indexed="64"/>
      </patternFill>
    </fill>
    <fill>
      <patternFill patternType="solid">
        <fgColor theme="0" tint="-0.14999847407452621"/>
        <bgColor indexed="64"/>
      </patternFill>
    </fill>
    <fill>
      <patternFill patternType="solid">
        <fgColor theme="0"/>
        <bgColor indexed="64"/>
      </patternFill>
    </fill>
    <fill>
      <patternFill patternType="solid">
        <fgColor rgb="FFFBC8AB"/>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4" tint="0.79998168889431442"/>
        <bgColor indexed="64"/>
      </patternFill>
    </fill>
  </fills>
  <borders count="39">
    <border>
      <left/>
      <right/>
      <top/>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theme="1" tint="0.34998626667073579"/>
      </right>
      <top/>
      <bottom/>
      <diagonal/>
    </border>
    <border>
      <left style="medium">
        <color theme="1" tint="0.34998626667073579"/>
      </left>
      <right/>
      <top style="medium">
        <color theme="1" tint="0.34998626667073579"/>
      </top>
      <bottom style="thin">
        <color theme="0" tint="-0.14996795556505021"/>
      </bottom>
      <diagonal/>
    </border>
    <border>
      <left/>
      <right/>
      <top style="medium">
        <color theme="1" tint="0.34998626667073579"/>
      </top>
      <bottom style="thin">
        <color theme="0" tint="-0.14996795556505021"/>
      </bottom>
      <diagonal/>
    </border>
    <border>
      <left/>
      <right style="thin">
        <color theme="0" tint="-0.14996795556505021"/>
      </right>
      <top style="medium">
        <color theme="1" tint="0.34998626667073579"/>
      </top>
      <bottom style="thin">
        <color theme="0" tint="-0.14996795556505021"/>
      </bottom>
      <diagonal/>
    </border>
    <border>
      <left style="medium">
        <color theme="1" tint="0.34998626667073579"/>
      </left>
      <right/>
      <top style="medium">
        <color theme="1" tint="0.34998626667073579"/>
      </top>
      <bottom style="thin">
        <color theme="0" tint="-0.14993743705557422"/>
      </bottom>
      <diagonal/>
    </border>
    <border>
      <left/>
      <right style="thin">
        <color theme="0" tint="-0.14993743705557422"/>
      </right>
      <top style="medium">
        <color theme="1" tint="0.34998626667073579"/>
      </top>
      <bottom style="thin">
        <color theme="0" tint="-0.14993743705557422"/>
      </bottom>
      <diagonal/>
    </border>
    <border>
      <left/>
      <right/>
      <top style="medium">
        <color theme="1" tint="0.34998626667073579"/>
      </top>
      <bottom style="thin">
        <color theme="0" tint="-0.14993743705557422"/>
      </bottom>
      <diagonal/>
    </border>
    <border>
      <left style="thin">
        <color theme="0" tint="-0.14996795556505021"/>
      </left>
      <right/>
      <top/>
      <bottom/>
      <diagonal/>
    </border>
    <border>
      <left style="thin">
        <color indexed="64"/>
      </left>
      <right style="thin">
        <color indexed="64"/>
      </right>
      <top style="thin">
        <color indexed="64"/>
      </top>
      <bottom style="thin">
        <color indexed="64"/>
      </bottom>
      <diagonal/>
    </border>
    <border>
      <left style="medium">
        <color theme="1" tint="0.34998626667073579"/>
      </left>
      <right/>
      <top style="medium">
        <color theme="1" tint="0.34998626667073579"/>
      </top>
      <bottom style="medium">
        <color theme="0" tint="-0.14996795556505021"/>
      </bottom>
      <diagonal/>
    </border>
    <border>
      <left/>
      <right/>
      <top style="medium">
        <color theme="1" tint="0.34998626667073579"/>
      </top>
      <bottom style="medium">
        <color theme="0" tint="-0.14996795556505021"/>
      </bottom>
      <diagonal/>
    </border>
    <border>
      <left/>
      <right style="medium">
        <color theme="0" tint="-0.14996795556505021"/>
      </right>
      <top style="medium">
        <color theme="1" tint="0.34998626667073579"/>
      </top>
      <bottom style="medium">
        <color theme="0" tint="-0.14996795556505021"/>
      </bottom>
      <diagonal/>
    </border>
    <border>
      <left/>
      <right style="thin">
        <color theme="0" tint="-0.14996795556505021"/>
      </right>
      <top/>
      <bottom/>
      <diagonal/>
    </border>
    <border>
      <left/>
      <right/>
      <top style="thin">
        <color theme="0" tint="-0.14996795556505021"/>
      </top>
      <bottom/>
      <diagonal/>
    </border>
    <border>
      <left style="thin">
        <color indexed="64"/>
      </left>
      <right style="thin">
        <color indexed="64"/>
      </right>
      <top/>
      <bottom/>
      <diagonal/>
    </border>
    <border>
      <left style="thin">
        <color theme="0" tint="-0.14996795556505021"/>
      </left>
      <right style="thin">
        <color indexed="64"/>
      </right>
      <top/>
      <bottom/>
      <diagonal/>
    </border>
    <border>
      <left style="medium">
        <color indexed="64"/>
      </left>
      <right style="medium">
        <color indexed="64"/>
      </right>
      <top style="medium">
        <color indexed="64"/>
      </top>
      <bottom style="medium">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theme="1" tint="0.34998626667073579"/>
      </left>
      <right/>
      <top style="medium">
        <color theme="1" tint="0.34998626667073579"/>
      </top>
      <bottom/>
      <diagonal/>
    </border>
    <border>
      <left/>
      <right/>
      <top style="medium">
        <color theme="1" tint="0.34998626667073579"/>
      </top>
      <bottom/>
      <diagonal/>
    </border>
  </borders>
  <cellStyleXfs count="2">
    <xf numFmtId="0" fontId="0" fillId="0" borderId="0"/>
    <xf numFmtId="9" fontId="22" fillId="0" borderId="0" applyFont="0" applyFill="0" applyBorder="0" applyAlignment="0" applyProtection="0"/>
  </cellStyleXfs>
  <cellXfs count="263">
    <xf numFmtId="0" fontId="0" fillId="0" borderId="0" xfId="0"/>
    <xf numFmtId="0" fontId="0" fillId="0" borderId="1" xfId="0" applyBorder="1"/>
    <xf numFmtId="0" fontId="3" fillId="0" borderId="0" xfId="0" applyFont="1"/>
    <xf numFmtId="164" fontId="3" fillId="0" borderId="0" xfId="0" applyNumberFormat="1" applyFont="1"/>
    <xf numFmtId="164" fontId="3" fillId="0" borderId="0" xfId="0" applyNumberFormat="1" applyFont="1" applyAlignment="1">
      <alignment horizontal="left"/>
    </xf>
    <xf numFmtId="0" fontId="3" fillId="0" borderId="0" xfId="0" applyFont="1" applyAlignment="1">
      <alignment horizontal="center"/>
    </xf>
    <xf numFmtId="0" fontId="4" fillId="0" borderId="0" xfId="0" applyFont="1" applyAlignment="1">
      <alignment horizontal="center"/>
    </xf>
    <xf numFmtId="0" fontId="0" fillId="0" borderId="0" xfId="0" applyAlignment="1">
      <alignment horizontal="right"/>
    </xf>
    <xf numFmtId="0" fontId="0" fillId="0" borderId="2" xfId="0" applyBorder="1"/>
    <xf numFmtId="0" fontId="4" fillId="0" borderId="3" xfId="0" applyFont="1" applyBorder="1" applyAlignment="1">
      <alignment horizontal="center"/>
    </xf>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0" fillId="0" borderId="9" xfId="0" applyBorder="1"/>
    <xf numFmtId="0" fontId="3" fillId="0" borderId="0" xfId="0" applyFont="1" applyAlignment="1">
      <alignment horizontal="left"/>
    </xf>
    <xf numFmtId="0" fontId="0" fillId="0" borderId="0" xfId="0" applyAlignment="1">
      <alignment horizontal="left"/>
    </xf>
    <xf numFmtId="0" fontId="5" fillId="0" borderId="3" xfId="0" applyFont="1" applyBorder="1"/>
    <xf numFmtId="0" fontId="0" fillId="0" borderId="0" xfId="0" applyAlignment="1">
      <alignment horizontal="center"/>
    </xf>
    <xf numFmtId="0" fontId="0" fillId="0" borderId="12" xfId="0" applyBorder="1"/>
    <xf numFmtId="0" fontId="6" fillId="0" borderId="3" xfId="0" applyFont="1" applyBorder="1"/>
    <xf numFmtId="0" fontId="0" fillId="2" borderId="6" xfId="0" applyFill="1" applyBorder="1"/>
    <xf numFmtId="0" fontId="7" fillId="0" borderId="20" xfId="0" applyFont="1" applyBorder="1" applyAlignment="1">
      <alignment horizontal="center"/>
    </xf>
    <xf numFmtId="0" fontId="11" fillId="0" borderId="20" xfId="0" applyFont="1" applyBorder="1" applyAlignment="1">
      <alignment horizontal="center"/>
    </xf>
    <xf numFmtId="0" fontId="0" fillId="0" borderId="20" xfId="0" applyBorder="1" applyAlignment="1">
      <alignment horizontal="center"/>
    </xf>
    <xf numFmtId="0" fontId="10" fillId="0" borderId="20" xfId="0" applyFont="1" applyBorder="1"/>
    <xf numFmtId="0" fontId="12" fillId="0" borderId="0" xfId="0" applyFont="1" applyAlignment="1">
      <alignment vertical="center"/>
    </xf>
    <xf numFmtId="0" fontId="0" fillId="0" borderId="0" xfId="0" applyProtection="1">
      <protection hidden="1"/>
    </xf>
    <xf numFmtId="0" fontId="0" fillId="0" borderId="3" xfId="0" applyBorder="1" applyProtection="1">
      <protection hidden="1"/>
    </xf>
    <xf numFmtId="0" fontId="11" fillId="0" borderId="20" xfId="0" quotePrefix="1" applyFont="1" applyBorder="1" applyAlignment="1">
      <alignment horizontal="center"/>
    </xf>
    <xf numFmtId="0" fontId="14" fillId="0" borderId="0" xfId="0" applyFont="1"/>
    <xf numFmtId="0" fontId="0" fillId="0" borderId="11" xfId="0" applyBorder="1"/>
    <xf numFmtId="0" fontId="0" fillId="0" borderId="0" xfId="0" applyAlignment="1">
      <alignment horizontal="left" vertical="center"/>
    </xf>
    <xf numFmtId="0" fontId="0" fillId="2" borderId="5" xfId="0" applyFill="1" applyBorder="1"/>
    <xf numFmtId="0" fontId="0" fillId="0" borderId="3" xfId="0" applyBorder="1" applyAlignment="1">
      <alignment vertical="top"/>
    </xf>
    <xf numFmtId="0" fontId="0" fillId="0" borderId="0" xfId="0" applyAlignment="1">
      <alignment vertical="top"/>
    </xf>
    <xf numFmtId="0" fontId="5" fillId="0" borderId="3" xfId="0" applyFont="1" applyBorder="1" applyAlignment="1">
      <alignment horizontal="center"/>
    </xf>
    <xf numFmtId="0" fontId="5" fillId="0" borderId="0" xfId="0" applyFont="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7" fillId="0" borderId="8" xfId="0" applyFont="1" applyBorder="1" applyAlignment="1" applyProtection="1">
      <alignment vertical="center" wrapText="1"/>
      <protection hidden="1"/>
    </xf>
    <xf numFmtId="0" fontId="7" fillId="0" borderId="0" xfId="0" applyFont="1" applyAlignment="1" applyProtection="1">
      <alignment vertical="center" wrapText="1"/>
      <protection hidden="1"/>
    </xf>
    <xf numFmtId="0" fontId="0" fillId="0" borderId="0" xfId="0" applyAlignment="1" applyProtection="1">
      <alignment horizontal="center"/>
      <protection hidden="1"/>
    </xf>
    <xf numFmtId="0" fontId="17" fillId="0" borderId="0" xfId="0" quotePrefix="1" applyFont="1"/>
    <xf numFmtId="0" fontId="0" fillId="0" borderId="4" xfId="0" applyBorder="1" applyAlignment="1">
      <alignment horizontal="left" vertical="center"/>
    </xf>
    <xf numFmtId="0" fontId="0" fillId="0" borderId="3" xfId="0" applyBorder="1" applyAlignment="1">
      <alignment vertical="center"/>
    </xf>
    <xf numFmtId="0" fontId="0" fillId="0" borderId="0" xfId="0" applyAlignment="1">
      <alignment vertical="center"/>
    </xf>
    <xf numFmtId="0" fontId="0" fillId="0" borderId="2" xfId="0" applyBorder="1" applyAlignment="1">
      <alignment vertical="center"/>
    </xf>
    <xf numFmtId="0" fontId="0" fillId="0" borderId="3"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3" xfId="0" applyBorder="1" applyAlignment="1">
      <alignment horizontal="left" vertical="center" wrapText="1"/>
    </xf>
    <xf numFmtId="0" fontId="0" fillId="0" borderId="0" xfId="0" applyAlignment="1">
      <alignment horizontal="left" vertical="center" wrapText="1"/>
    </xf>
    <xf numFmtId="0" fontId="0" fillId="0" borderId="0" xfId="0" applyAlignment="1">
      <alignment wrapText="1"/>
    </xf>
    <xf numFmtId="0" fontId="0" fillId="0" borderId="0" xfId="0" applyAlignment="1">
      <alignment horizontal="left" wrapText="1"/>
    </xf>
    <xf numFmtId="0" fontId="19" fillId="0" borderId="0" xfId="0" applyFont="1"/>
    <xf numFmtId="0" fontId="5" fillId="0" borderId="0" xfId="0" applyFont="1"/>
    <xf numFmtId="0" fontId="11" fillId="8" borderId="20" xfId="0" applyFont="1" applyFill="1" applyBorder="1" applyAlignment="1">
      <alignment horizontal="center"/>
    </xf>
    <xf numFmtId="0" fontId="0" fillId="8" borderId="20" xfId="0" applyFill="1" applyBorder="1" applyAlignment="1">
      <alignment horizontal="center"/>
    </xf>
    <xf numFmtId="0" fontId="0" fillId="8" borderId="0" xfId="0" applyFill="1"/>
    <xf numFmtId="165" fontId="3" fillId="0" borderId="0" xfId="0" applyNumberFormat="1" applyFont="1" applyAlignment="1">
      <alignment horizontal="left" vertical="center"/>
    </xf>
    <xf numFmtId="166" fontId="3" fillId="0" borderId="0" xfId="0" applyNumberFormat="1" applyFont="1" applyAlignment="1">
      <alignment horizontal="left"/>
    </xf>
    <xf numFmtId="0" fontId="3" fillId="0" borderId="0" xfId="0" applyFont="1" applyAlignment="1">
      <alignment vertical="center"/>
    </xf>
    <xf numFmtId="0" fontId="0" fillId="7" borderId="0" xfId="0" applyFill="1" applyAlignment="1">
      <alignment horizontal="center"/>
    </xf>
    <xf numFmtId="0" fontId="15" fillId="0" borderId="0" xfId="0" applyFont="1" applyAlignment="1">
      <alignment horizontal="left" vertical="center" shrinkToFit="1"/>
    </xf>
    <xf numFmtId="0" fontId="0" fillId="0" borderId="20" xfId="0" applyBorder="1" applyAlignment="1">
      <alignment horizontal="center" vertical="center"/>
    </xf>
    <xf numFmtId="14" fontId="0" fillId="0" borderId="20" xfId="0" applyNumberFormat="1" applyBorder="1" applyAlignment="1">
      <alignment horizontal="center" vertical="center"/>
    </xf>
    <xf numFmtId="0" fontId="0" fillId="0" borderId="20" xfId="0" applyBorder="1" applyAlignment="1">
      <alignment horizontal="center" vertical="center" wrapText="1"/>
    </xf>
    <xf numFmtId="0" fontId="5" fillId="9" borderId="20" xfId="0" applyFont="1" applyFill="1" applyBorder="1" applyAlignment="1">
      <alignment horizontal="center" vertical="center"/>
    </xf>
    <xf numFmtId="0" fontId="5" fillId="0" borderId="2" xfId="0" applyFont="1" applyBorder="1" applyAlignment="1">
      <alignment vertical="center" wrapText="1"/>
    </xf>
    <xf numFmtId="0" fontId="0" fillId="0" borderId="3" xfId="0" applyBorder="1" applyAlignment="1">
      <alignment vertical="center" wrapText="1"/>
    </xf>
    <xf numFmtId="0" fontId="0" fillId="0" borderId="0" xfId="0" applyAlignment="1">
      <alignment vertical="center" wrapText="1"/>
    </xf>
    <xf numFmtId="14" fontId="0" fillId="0" borderId="0" xfId="0" applyNumberFormat="1"/>
    <xf numFmtId="0" fontId="0" fillId="0" borderId="26" xfId="0" applyBorder="1" applyAlignment="1">
      <alignment wrapText="1"/>
    </xf>
    <xf numFmtId="0" fontId="0" fillId="0" borderId="4" xfId="0" applyBorder="1" applyAlignment="1">
      <alignment horizontal="left" vertical="center" wrapText="1"/>
    </xf>
    <xf numFmtId="0" fontId="0" fillId="0" borderId="1" xfId="0" applyBorder="1" applyAlignment="1">
      <alignment horizontal="left" vertical="center" wrapText="1"/>
    </xf>
    <xf numFmtId="0" fontId="14" fillId="0" borderId="8" xfId="0" applyFont="1" applyBorder="1"/>
    <xf numFmtId="0" fontId="0" fillId="0" borderId="3" xfId="0" applyBorder="1" applyAlignment="1">
      <alignment horizontal="left" wrapText="1"/>
    </xf>
    <xf numFmtId="0" fontId="0" fillId="0" borderId="3" xfId="0" applyBorder="1" applyAlignment="1">
      <alignment wrapText="1"/>
    </xf>
    <xf numFmtId="0" fontId="0" fillId="0" borderId="4" xfId="0" applyBorder="1" applyAlignment="1">
      <alignment wrapText="1"/>
    </xf>
    <xf numFmtId="0" fontId="0" fillId="0" borderId="1" xfId="0" applyBorder="1" applyAlignment="1">
      <alignment wrapText="1"/>
    </xf>
    <xf numFmtId="0" fontId="21" fillId="0" borderId="0" xfId="0" applyFont="1" applyAlignment="1">
      <alignment horizontal="center"/>
    </xf>
    <xf numFmtId="0" fontId="0" fillId="0" borderId="3" xfId="0" applyBorder="1" applyAlignment="1">
      <alignment vertical="top" wrapText="1"/>
    </xf>
    <xf numFmtId="0" fontId="0" fillId="0" borderId="0" xfId="0" applyAlignment="1">
      <alignment vertical="top" wrapText="1"/>
    </xf>
    <xf numFmtId="0" fontId="0" fillId="0" borderId="27" xfId="0" applyBorder="1"/>
    <xf numFmtId="0" fontId="0" fillId="0" borderId="28" xfId="0" applyBorder="1" applyAlignment="1">
      <alignment horizontal="center" vertical="center" wrapText="1"/>
    </xf>
    <xf numFmtId="0" fontId="0" fillId="0" borderId="3" xfId="0" applyBorder="1" applyAlignment="1" applyProtection="1">
      <alignment vertical="center" wrapText="1"/>
      <protection hidden="1"/>
    </xf>
    <xf numFmtId="0" fontId="0" fillId="0" borderId="0" xfId="0" applyAlignment="1" applyProtection="1">
      <alignment vertical="center" wrapText="1"/>
      <protection hidden="1"/>
    </xf>
    <xf numFmtId="0" fontId="0" fillId="0" borderId="1" xfId="0" applyBorder="1" applyAlignment="1">
      <alignment horizontal="left"/>
    </xf>
    <xf numFmtId="0" fontId="0" fillId="0" borderId="5" xfId="0" applyBorder="1" applyAlignment="1">
      <alignment horizontal="left"/>
    </xf>
    <xf numFmtId="0" fontId="0" fillId="0" borderId="20" xfId="0" applyBorder="1" applyAlignment="1">
      <alignment wrapText="1"/>
    </xf>
    <xf numFmtId="0" fontId="0" fillId="0" borderId="0" xfId="0" applyAlignment="1">
      <alignment horizontal="center" vertical="center" wrapText="1"/>
    </xf>
    <xf numFmtId="0" fontId="9" fillId="0" borderId="0" xfId="0" applyFont="1" applyAlignment="1">
      <alignment horizontal="center" wrapText="1"/>
    </xf>
    <xf numFmtId="0" fontId="3" fillId="0" borderId="0" xfId="0" applyFont="1" applyAlignment="1" applyProtection="1">
      <alignment horizontal="center"/>
      <protection locked="0"/>
    </xf>
    <xf numFmtId="0" fontId="8" fillId="0" borderId="0" xfId="0" applyFont="1" applyProtection="1">
      <protection hidden="1"/>
    </xf>
    <xf numFmtId="0" fontId="9" fillId="0" borderId="0" xfId="0" applyFont="1"/>
    <xf numFmtId="0" fontId="0" fillId="0" borderId="28" xfId="0" applyBorder="1" applyAlignment="1" applyProtection="1">
      <alignment horizontal="center" vertical="center" wrapText="1"/>
      <protection locked="0"/>
    </xf>
    <xf numFmtId="0" fontId="24" fillId="0" borderId="0" xfId="0" applyFont="1"/>
    <xf numFmtId="0" fontId="9" fillId="0" borderId="3" xfId="0" applyFont="1" applyBorder="1"/>
    <xf numFmtId="0" fontId="11" fillId="0" borderId="0" xfId="0" applyFont="1" applyAlignment="1">
      <alignment horizontal="center"/>
    </xf>
    <xf numFmtId="0" fontId="26" fillId="0" borderId="0" xfId="0" applyFont="1"/>
    <xf numFmtId="0" fontId="0" fillId="0" borderId="0" xfId="0" applyAlignment="1" applyProtection="1">
      <alignment horizontal="center" vertical="center" wrapText="1"/>
      <protection locked="0"/>
    </xf>
    <xf numFmtId="0" fontId="3" fillId="0" borderId="13" xfId="0" applyFont="1" applyBorder="1" applyAlignment="1" applyProtection="1">
      <alignment horizontal="center"/>
      <protection locked="0"/>
    </xf>
    <xf numFmtId="0" fontId="3" fillId="0" borderId="15" xfId="0" applyFont="1" applyBorder="1" applyAlignment="1" applyProtection="1">
      <alignment horizontal="center"/>
      <protection locked="0"/>
    </xf>
    <xf numFmtId="0" fontId="3" fillId="0" borderId="14" xfId="0" applyFont="1" applyBorder="1" applyAlignment="1" applyProtection="1">
      <alignment horizontal="center"/>
      <protection locked="0"/>
    </xf>
    <xf numFmtId="0" fontId="0" fillId="0" borderId="0" xfId="0" applyAlignment="1">
      <alignment horizontal="left" vertical="center" wrapText="1"/>
    </xf>
    <xf numFmtId="0" fontId="0" fillId="0" borderId="11" xfId="0" applyBorder="1" applyAlignment="1">
      <alignment horizontal="left"/>
    </xf>
    <xf numFmtId="0" fontId="0" fillId="0" borderId="6" xfId="0" applyBorder="1" applyAlignment="1">
      <alignment horizontal="left"/>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4" xfId="0" applyBorder="1" applyAlignment="1">
      <alignment horizontal="left" vertical="center" wrapText="1"/>
    </xf>
    <xf numFmtId="0" fontId="0" fillId="0" borderId="1" xfId="0" applyBorder="1" applyAlignment="1">
      <alignment horizontal="left" vertical="center" wrapText="1"/>
    </xf>
    <xf numFmtId="0" fontId="0" fillId="0" borderId="5" xfId="0" applyBorder="1" applyAlignment="1">
      <alignment horizontal="left" vertical="center" wrapText="1"/>
    </xf>
    <xf numFmtId="0" fontId="0" fillId="0" borderId="3"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3"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3" fillId="0" borderId="13" xfId="0" applyFont="1" applyBorder="1" applyAlignment="1" applyProtection="1">
      <alignment horizontal="left"/>
      <protection locked="0"/>
    </xf>
    <xf numFmtId="0" fontId="3" fillId="0" borderId="14" xfId="0" applyFont="1" applyBorder="1" applyAlignment="1" applyProtection="1">
      <alignment horizontal="left"/>
      <protection locked="0"/>
    </xf>
    <xf numFmtId="0" fontId="3" fillId="0" borderId="15" xfId="0" applyFont="1" applyBorder="1" applyAlignment="1" applyProtection="1">
      <alignment horizontal="left"/>
      <protection locked="0"/>
    </xf>
    <xf numFmtId="0" fontId="5" fillId="0" borderId="4" xfId="0" applyFont="1" applyBorder="1" applyAlignment="1">
      <alignment horizontal="center" wrapText="1"/>
    </xf>
    <xf numFmtId="0" fontId="5" fillId="0" borderId="1" xfId="0" applyFont="1" applyBorder="1" applyAlignment="1">
      <alignment horizontal="center" wrapText="1"/>
    </xf>
    <xf numFmtId="0" fontId="3" fillId="0" borderId="16"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0" fontId="0" fillId="0" borderId="0" xfId="0" applyAlignment="1">
      <alignment horizontal="right"/>
    </xf>
    <xf numFmtId="0" fontId="0" fillId="0" borderId="12" xfId="0" applyBorder="1" applyAlignment="1">
      <alignment horizontal="right"/>
    </xf>
    <xf numFmtId="0" fontId="3" fillId="0" borderId="13" xfId="0" applyFont="1" applyBorder="1" applyAlignment="1" applyProtection="1">
      <alignment horizontal="lef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67" fontId="3" fillId="0" borderId="13" xfId="0" applyNumberFormat="1" applyFont="1" applyBorder="1" applyAlignment="1" applyProtection="1">
      <alignment horizontal="center" vertical="center"/>
      <protection locked="0"/>
    </xf>
    <xf numFmtId="167" fontId="3" fillId="0" borderId="14" xfId="0" applyNumberFormat="1" applyFont="1" applyBorder="1" applyAlignment="1" applyProtection="1">
      <alignment horizontal="center" vertical="center"/>
      <protection locked="0"/>
    </xf>
    <xf numFmtId="167" fontId="3" fillId="0" borderId="15" xfId="0" applyNumberFormat="1" applyFont="1" applyBorder="1" applyAlignment="1" applyProtection="1">
      <alignment horizontal="center" vertical="center"/>
      <protection locked="0"/>
    </xf>
    <xf numFmtId="0" fontId="0" fillId="0" borderId="0" xfId="0" applyAlignment="1">
      <alignment horizontal="left" wrapText="1"/>
    </xf>
    <xf numFmtId="0" fontId="3" fillId="0" borderId="13"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0" fillId="0" borderId="1" xfId="0" applyBorder="1" applyAlignment="1">
      <alignment horizontal="center"/>
    </xf>
    <xf numFmtId="0" fontId="7" fillId="0" borderId="8" xfId="0" applyFont="1" applyBorder="1" applyAlignment="1" applyProtection="1">
      <alignment horizontal="center" vertical="center" wrapText="1"/>
      <protection hidden="1"/>
    </xf>
    <xf numFmtId="0" fontId="7" fillId="0" borderId="0" xfId="0" applyFont="1" applyAlignment="1" applyProtection="1">
      <alignment horizontal="center" vertical="center" wrapText="1"/>
      <protection hidden="1"/>
    </xf>
    <xf numFmtId="0" fontId="8" fillId="0" borderId="4" xfId="0" applyFont="1" applyBorder="1" applyAlignment="1">
      <alignment horizontal="center" vertical="center"/>
    </xf>
    <xf numFmtId="0" fontId="8" fillId="0" borderId="1" xfId="0" applyFont="1" applyBorder="1" applyAlignment="1">
      <alignment horizontal="center" vertical="center"/>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0" fillId="0" borderId="10"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4" fillId="2" borderId="10" xfId="0" applyFont="1" applyFill="1" applyBorder="1" applyAlignment="1">
      <alignment horizontal="center"/>
    </xf>
    <xf numFmtId="0" fontId="4" fillId="2" borderId="11" xfId="0" applyFont="1" applyFill="1" applyBorder="1" applyAlignment="1">
      <alignment horizontal="center"/>
    </xf>
    <xf numFmtId="0" fontId="4" fillId="2" borderId="6" xfId="0" applyFont="1" applyFill="1" applyBorder="1" applyAlignment="1">
      <alignment horizontal="center"/>
    </xf>
    <xf numFmtId="0" fontId="7" fillId="0" borderId="0" xfId="0" applyFont="1" applyAlignment="1" applyProtection="1">
      <alignment horizontal="center" vertical="center" shrinkToFit="1"/>
      <protection hidden="1"/>
    </xf>
    <xf numFmtId="0" fontId="0" fillId="0" borderId="3" xfId="0" applyBorder="1" applyAlignment="1">
      <alignment horizontal="left" wrapText="1"/>
    </xf>
    <xf numFmtId="0" fontId="0" fillId="0" borderId="3" xfId="0" applyBorder="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3" fillId="0" borderId="16" xfId="0" applyFont="1" applyBorder="1" applyAlignment="1" applyProtection="1">
      <alignment horizontal="left"/>
      <protection locked="0"/>
    </xf>
    <xf numFmtId="0" fontId="3" fillId="0" borderId="18" xfId="0" applyFont="1" applyBorder="1" applyAlignment="1" applyProtection="1">
      <alignment horizontal="left"/>
      <protection locked="0"/>
    </xf>
    <xf numFmtId="0" fontId="3" fillId="0" borderId="17" xfId="0" applyFont="1" applyBorder="1" applyAlignment="1" applyProtection="1">
      <alignment horizontal="left"/>
      <protection locked="0"/>
    </xf>
    <xf numFmtId="0" fontId="3" fillId="4" borderId="13" xfId="0" applyFont="1" applyFill="1" applyBorder="1" applyAlignment="1" applyProtection="1">
      <alignment horizontal="center" vertical="center"/>
      <protection locked="0"/>
    </xf>
    <xf numFmtId="0" fontId="3" fillId="4" borderId="14" xfId="0" applyFont="1" applyFill="1" applyBorder="1" applyAlignment="1" applyProtection="1">
      <alignment horizontal="center" vertical="center"/>
      <protection locked="0"/>
    </xf>
    <xf numFmtId="0" fontId="3" fillId="4" borderId="15" xfId="0" applyFont="1" applyFill="1" applyBorder="1" applyAlignment="1" applyProtection="1">
      <alignment horizontal="center" vertical="center"/>
      <protection locked="0"/>
    </xf>
    <xf numFmtId="0" fontId="3" fillId="4" borderId="16" xfId="0" applyFont="1" applyFill="1" applyBorder="1" applyAlignment="1" applyProtection="1">
      <alignment horizontal="center"/>
      <protection locked="0"/>
    </xf>
    <xf numFmtId="0" fontId="3" fillId="4" borderId="17" xfId="0" applyFont="1" applyFill="1" applyBorder="1" applyAlignment="1" applyProtection="1">
      <alignment horizontal="center"/>
      <protection locked="0"/>
    </xf>
    <xf numFmtId="0" fontId="0" fillId="0" borderId="19" xfId="0" applyBorder="1" applyAlignment="1">
      <alignment horizontal="right"/>
    </xf>
    <xf numFmtId="0" fontId="15" fillId="0" borderId="37" xfId="0" applyFont="1" applyBorder="1" applyAlignment="1" applyProtection="1">
      <alignment horizontal="center" vertical="center" shrinkToFit="1"/>
      <protection locked="0"/>
    </xf>
    <xf numFmtId="0" fontId="15" fillId="0" borderId="38" xfId="0" applyFont="1" applyBorder="1" applyAlignment="1" applyProtection="1">
      <alignment horizontal="center" vertical="center" shrinkToFit="1"/>
      <protection locked="0"/>
    </xf>
    <xf numFmtId="164" fontId="3" fillId="0" borderId="13" xfId="0" applyNumberFormat="1" applyFont="1" applyBorder="1" applyAlignment="1" applyProtection="1">
      <alignment horizontal="left"/>
      <protection locked="0"/>
    </xf>
    <xf numFmtId="164" fontId="3" fillId="0" borderId="14" xfId="0" applyNumberFormat="1" applyFont="1" applyBorder="1" applyAlignment="1" applyProtection="1">
      <alignment horizontal="left"/>
      <protection locked="0"/>
    </xf>
    <xf numFmtId="164" fontId="3" fillId="0" borderId="15" xfId="0" applyNumberFormat="1" applyFont="1" applyBorder="1" applyAlignment="1" applyProtection="1">
      <alignment horizontal="left"/>
      <protection locked="0"/>
    </xf>
    <xf numFmtId="0" fontId="0" fillId="0" borderId="0" xfId="0" applyAlignment="1">
      <alignment horizontal="center"/>
    </xf>
    <xf numFmtId="0" fontId="0" fillId="0" borderId="12" xfId="0" applyBorder="1" applyAlignment="1">
      <alignment horizontal="center"/>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5" xfId="0" applyBorder="1" applyAlignment="1" applyProtection="1">
      <alignment horizontal="center"/>
      <protection locked="0"/>
    </xf>
    <xf numFmtId="0" fontId="4" fillId="2" borderId="4" xfId="0" applyFont="1" applyFill="1" applyBorder="1" applyAlignment="1">
      <alignment horizontal="center"/>
    </xf>
    <xf numFmtId="0" fontId="4" fillId="2" borderId="1" xfId="0" applyFont="1" applyFill="1" applyBorder="1" applyAlignment="1">
      <alignment horizontal="center"/>
    </xf>
    <xf numFmtId="165" fontId="3" fillId="0" borderId="13" xfId="0" applyNumberFormat="1" applyFont="1" applyBorder="1" applyAlignment="1" applyProtection="1">
      <alignment horizontal="left" vertical="center"/>
      <protection locked="0"/>
    </xf>
    <xf numFmtId="165" fontId="3" fillId="0" borderId="14" xfId="0" applyNumberFormat="1" applyFont="1" applyBorder="1" applyAlignment="1" applyProtection="1">
      <alignment horizontal="left" vertical="center"/>
      <protection locked="0"/>
    </xf>
    <xf numFmtId="165" fontId="3" fillId="0" borderId="15" xfId="0" applyNumberFormat="1" applyFont="1" applyBorder="1" applyAlignment="1" applyProtection="1">
      <alignment horizontal="left" vertical="center"/>
      <protection locked="0"/>
    </xf>
    <xf numFmtId="0" fontId="0" fillId="0" borderId="3" xfId="0" applyBorder="1" applyAlignment="1">
      <alignment horizontal="right" vertical="center" wrapText="1"/>
    </xf>
    <xf numFmtId="0" fontId="0" fillId="0" borderId="0" xfId="0" applyAlignment="1">
      <alignment horizontal="right" vertical="center" wrapText="1"/>
    </xf>
    <xf numFmtId="0" fontId="0" fillId="0" borderId="2" xfId="0" applyBorder="1" applyAlignment="1">
      <alignment horizontal="right" vertical="center" wrapText="1"/>
    </xf>
    <xf numFmtId="0" fontId="0" fillId="0" borderId="3" xfId="0" applyBorder="1" applyAlignment="1" applyProtection="1">
      <alignment horizontal="left"/>
      <protection hidden="1"/>
    </xf>
    <xf numFmtId="0" fontId="0" fillId="0" borderId="0" xfId="0" applyAlignment="1" applyProtection="1">
      <alignment horizontal="left"/>
      <protection hidden="1"/>
    </xf>
    <xf numFmtId="0" fontId="3" fillId="0" borderId="16" xfId="0" applyFont="1" applyBorder="1" applyAlignment="1" applyProtection="1">
      <alignment horizontal="center"/>
      <protection locked="0"/>
    </xf>
    <xf numFmtId="0" fontId="3" fillId="0" borderId="17" xfId="0" applyFont="1" applyBorder="1" applyAlignment="1" applyProtection="1">
      <alignment horizontal="center"/>
      <protection locked="0"/>
    </xf>
    <xf numFmtId="0" fontId="3" fillId="0" borderId="13" xfId="0" applyFont="1" applyBorder="1" applyProtection="1">
      <protection locked="0"/>
    </xf>
    <xf numFmtId="0" fontId="3" fillId="0" borderId="14" xfId="0" applyFont="1" applyBorder="1" applyProtection="1">
      <protection locked="0"/>
    </xf>
    <xf numFmtId="0" fontId="3" fillId="0" borderId="15" xfId="0" applyFont="1" applyBorder="1" applyProtection="1">
      <protection locked="0"/>
    </xf>
    <xf numFmtId="166" fontId="3" fillId="0" borderId="13" xfId="0" applyNumberFormat="1" applyFont="1" applyBorder="1" applyAlignment="1" applyProtection="1">
      <alignment horizontal="left"/>
      <protection locked="0"/>
    </xf>
    <xf numFmtId="166" fontId="3" fillId="0" borderId="14" xfId="0" applyNumberFormat="1" applyFont="1" applyBorder="1" applyAlignment="1" applyProtection="1">
      <alignment horizontal="left"/>
      <protection locked="0"/>
    </xf>
    <xf numFmtId="166" fontId="3" fillId="0" borderId="15" xfId="0" applyNumberFormat="1" applyFont="1" applyBorder="1" applyAlignment="1" applyProtection="1">
      <alignment horizontal="left"/>
      <protection locked="0"/>
    </xf>
    <xf numFmtId="0" fontId="9" fillId="0" borderId="0" xfId="0" applyFont="1" applyAlignment="1">
      <alignment horizontal="center" vertical="center"/>
    </xf>
    <xf numFmtId="0" fontId="0" fillId="0" borderId="25" xfId="0" applyBorder="1" applyAlignment="1">
      <alignment horizontal="left" vertical="top"/>
    </xf>
    <xf numFmtId="0" fontId="0" fillId="0" borderId="1" xfId="0" applyBorder="1" applyAlignment="1">
      <alignment horizontal="center" vertical="top"/>
    </xf>
    <xf numFmtId="0" fontId="3" fillId="0" borderId="13" xfId="0" applyFont="1" applyBorder="1" applyAlignment="1" applyProtection="1">
      <alignment horizontal="center" shrinkToFit="1"/>
      <protection locked="0"/>
    </xf>
    <xf numFmtId="0" fontId="3" fillId="0" borderId="14" xfId="0" applyFont="1" applyBorder="1" applyAlignment="1" applyProtection="1">
      <alignment horizontal="center" shrinkToFit="1"/>
      <protection locked="0"/>
    </xf>
    <xf numFmtId="0" fontId="3" fillId="0" borderId="15" xfId="0" applyFont="1" applyBorder="1" applyAlignment="1" applyProtection="1">
      <alignment horizontal="center" shrinkToFit="1"/>
      <protection locked="0"/>
    </xf>
    <xf numFmtId="0" fontId="9" fillId="0" borderId="29" xfId="0" applyFont="1" applyBorder="1" applyAlignment="1">
      <alignment horizontal="center" wrapText="1"/>
    </xf>
    <xf numFmtId="0" fontId="9" fillId="0" borderId="30" xfId="0" applyFont="1" applyBorder="1" applyAlignment="1">
      <alignment horizontal="center" wrapText="1"/>
    </xf>
    <xf numFmtId="0" fontId="9" fillId="0" borderId="31" xfId="0" applyFont="1" applyBorder="1" applyAlignment="1">
      <alignment horizontal="center" wrapText="1"/>
    </xf>
    <xf numFmtId="0" fontId="9" fillId="0" borderId="32" xfId="0" applyFont="1" applyBorder="1" applyAlignment="1">
      <alignment horizontal="center" wrapText="1"/>
    </xf>
    <xf numFmtId="0" fontId="9" fillId="0" borderId="0" xfId="0" applyFont="1" applyAlignment="1">
      <alignment horizontal="center" wrapText="1"/>
    </xf>
    <xf numFmtId="0" fontId="9" fillId="0" borderId="33" xfId="0" applyFont="1" applyBorder="1" applyAlignment="1">
      <alignment horizontal="center" wrapText="1"/>
    </xf>
    <xf numFmtId="0" fontId="9" fillId="0" borderId="34" xfId="0" applyFont="1" applyBorder="1" applyAlignment="1">
      <alignment horizontal="center" wrapText="1"/>
    </xf>
    <xf numFmtId="0" fontId="9" fillId="0" borderId="35" xfId="0" applyFont="1" applyBorder="1" applyAlignment="1">
      <alignment horizontal="center" wrapText="1"/>
    </xf>
    <xf numFmtId="0" fontId="9" fillId="0" borderId="36" xfId="0" applyFont="1" applyBorder="1" applyAlignment="1">
      <alignment horizontal="center" wrapText="1"/>
    </xf>
    <xf numFmtId="0" fontId="0" fillId="0" borderId="0" xfId="0" applyAlignment="1">
      <alignment horizontal="left"/>
    </xf>
    <xf numFmtId="0" fontId="0" fillId="0" borderId="24" xfId="0" applyBorder="1" applyAlignment="1">
      <alignment horizontal="left"/>
    </xf>
    <xf numFmtId="0" fontId="3" fillId="0" borderId="21" xfId="0" applyFont="1" applyBorder="1" applyAlignment="1" applyProtection="1">
      <alignment horizontal="left" vertical="center"/>
      <protection locked="0"/>
    </xf>
    <xf numFmtId="0" fontId="3" fillId="0" borderId="22" xfId="0" applyFont="1" applyBorder="1" applyAlignment="1" applyProtection="1">
      <alignment horizontal="left" vertical="center"/>
      <protection locked="0"/>
    </xf>
    <xf numFmtId="0" fontId="3" fillId="0" borderId="23" xfId="0" applyFont="1" applyBorder="1" applyAlignment="1" applyProtection="1">
      <alignment horizontal="left" vertical="center"/>
      <protection locked="0"/>
    </xf>
    <xf numFmtId="0" fontId="13" fillId="0" borderId="13" xfId="0" applyFont="1" applyBorder="1" applyAlignment="1" applyProtection="1">
      <alignment horizontal="center"/>
      <protection locked="0"/>
    </xf>
    <xf numFmtId="0" fontId="13" fillId="0" borderId="14" xfId="0" applyFont="1" applyBorder="1" applyAlignment="1" applyProtection="1">
      <alignment horizontal="center"/>
      <protection locked="0"/>
    </xf>
    <xf numFmtId="0" fontId="13" fillId="0" borderId="15" xfId="0" applyFont="1" applyBorder="1" applyAlignment="1" applyProtection="1">
      <alignment horizontal="center"/>
      <protection locked="0"/>
    </xf>
    <xf numFmtId="0" fontId="23" fillId="0" borderId="0" xfId="0" applyFont="1" applyAlignment="1">
      <alignment horizontal="center" wrapText="1"/>
    </xf>
    <xf numFmtId="0" fontId="0" fillId="0" borderId="3" xfId="0" applyBorder="1" applyAlignment="1" applyProtection="1">
      <alignment horizontal="center" wrapText="1"/>
      <protection hidden="1"/>
    </xf>
    <xf numFmtId="0" fontId="0" fillId="0" borderId="0" xfId="0" applyAlignment="1" applyProtection="1">
      <alignment horizontal="center" wrapText="1"/>
      <protection hidden="1"/>
    </xf>
    <xf numFmtId="0" fontId="0" fillId="0" borderId="2" xfId="0" applyBorder="1" applyAlignment="1" applyProtection="1">
      <alignment horizontal="center" wrapText="1"/>
      <protection hidden="1"/>
    </xf>
    <xf numFmtId="1" fontId="3" fillId="0" borderId="13" xfId="1" applyNumberFormat="1" applyFont="1" applyBorder="1" applyAlignment="1" applyProtection="1">
      <alignment horizontal="center"/>
      <protection locked="0"/>
    </xf>
    <xf numFmtId="1" fontId="3" fillId="0" borderId="14" xfId="1" applyNumberFormat="1" applyFont="1" applyBorder="1" applyAlignment="1" applyProtection="1">
      <alignment horizontal="center"/>
      <protection locked="0"/>
    </xf>
    <xf numFmtId="1" fontId="3" fillId="0" borderId="15" xfId="1" applyNumberFormat="1" applyFont="1" applyBorder="1" applyAlignment="1" applyProtection="1">
      <alignment horizontal="center"/>
      <protection locked="0"/>
    </xf>
    <xf numFmtId="0" fontId="3" fillId="0" borderId="37" xfId="0" applyFont="1" applyBorder="1" applyAlignment="1" applyProtection="1">
      <alignment horizontal="center"/>
      <protection locked="0"/>
    </xf>
    <xf numFmtId="0" fontId="3" fillId="0" borderId="38" xfId="0" applyFont="1" applyBorder="1" applyAlignment="1" applyProtection="1">
      <alignment horizontal="center"/>
      <protection locked="0"/>
    </xf>
    <xf numFmtId="0" fontId="8" fillId="0" borderId="0" xfId="0" applyFont="1" applyAlignment="1">
      <alignment horizontal="left" vertical="center" wrapText="1"/>
    </xf>
    <xf numFmtId="0" fontId="15" fillId="0" borderId="37" xfId="0" applyFont="1" applyBorder="1" applyAlignment="1" applyProtection="1">
      <alignment horizontal="center"/>
      <protection locked="0"/>
    </xf>
    <xf numFmtId="0" fontId="15" fillId="0" borderId="38" xfId="0" applyFont="1" applyBorder="1" applyAlignment="1" applyProtection="1">
      <alignment horizontal="center"/>
      <protection locked="0"/>
    </xf>
    <xf numFmtId="0" fontId="25" fillId="0" borderId="37" xfId="0" applyFont="1" applyBorder="1" applyAlignment="1" applyProtection="1">
      <alignment horizontal="center"/>
      <protection locked="0"/>
    </xf>
    <xf numFmtId="0" fontId="25" fillId="0" borderId="38" xfId="0" applyFont="1" applyBorder="1" applyAlignment="1" applyProtection="1">
      <alignment horizontal="center"/>
      <protection locked="0"/>
    </xf>
    <xf numFmtId="0" fontId="25" fillId="0" borderId="37" xfId="0" applyFont="1" applyBorder="1" applyAlignment="1" applyProtection="1">
      <alignment horizontal="center" vertical="center" shrinkToFit="1"/>
      <protection locked="0"/>
    </xf>
    <xf numFmtId="0" fontId="25" fillId="0" borderId="38" xfId="0" applyFont="1" applyBorder="1" applyAlignment="1" applyProtection="1">
      <alignment horizontal="center" vertical="center" shrinkToFit="1"/>
      <protection locked="0"/>
    </xf>
    <xf numFmtId="2" fontId="15" fillId="0" borderId="37" xfId="0" applyNumberFormat="1" applyFont="1" applyBorder="1" applyAlignment="1" applyProtection="1">
      <alignment horizontal="center" vertical="center" shrinkToFit="1"/>
      <protection locked="0"/>
    </xf>
    <xf numFmtId="2" fontId="15" fillId="0" borderId="38" xfId="0" applyNumberFormat="1" applyFont="1" applyBorder="1" applyAlignment="1" applyProtection="1">
      <alignment horizontal="center" vertical="center" shrinkToFit="1"/>
      <protection locked="0"/>
    </xf>
    <xf numFmtId="0" fontId="0" fillId="0" borderId="3" xfId="0" applyBorder="1" applyAlignment="1">
      <alignment horizontal="left" vertical="center"/>
    </xf>
    <xf numFmtId="0" fontId="0" fillId="0" borderId="0" xfId="0" applyAlignment="1">
      <alignment horizontal="left" vertical="center"/>
    </xf>
    <xf numFmtId="0" fontId="4" fillId="2" borderId="20" xfId="0" applyFont="1" applyFill="1" applyBorder="1" applyAlignment="1">
      <alignment horizontal="center"/>
    </xf>
    <xf numFmtId="0" fontId="24" fillId="0" borderId="0" xfId="0" applyFont="1" applyAlignment="1">
      <alignment horizontal="center" wrapText="1"/>
    </xf>
    <xf numFmtId="0" fontId="0" fillId="0" borderId="0" xfId="0" applyAlignment="1" applyProtection="1">
      <alignment horizontal="left" vertical="top" wrapText="1"/>
      <protection hidden="1"/>
    </xf>
    <xf numFmtId="0" fontId="0" fillId="0" borderId="3" xfId="0" applyBorder="1" applyAlignment="1">
      <alignment horizontal="left" vertical="top" wrapText="1"/>
    </xf>
    <xf numFmtId="0" fontId="0" fillId="0" borderId="0" xfId="0" applyAlignment="1">
      <alignment horizontal="left" vertical="top" wrapText="1"/>
    </xf>
    <xf numFmtId="0" fontId="5" fillId="5" borderId="0" xfId="0" applyFont="1" applyFill="1" applyAlignment="1">
      <alignment horizontal="center" vertical="center"/>
    </xf>
    <xf numFmtId="0" fontId="3" fillId="3" borderId="16" xfId="0" applyFont="1" applyFill="1" applyBorder="1" applyAlignment="1" applyProtection="1">
      <alignment horizontal="center"/>
      <protection hidden="1"/>
    </xf>
    <xf numFmtId="0" fontId="3" fillId="3" borderId="18" xfId="0" applyFont="1" applyFill="1" applyBorder="1" applyAlignment="1" applyProtection="1">
      <alignment horizontal="center"/>
      <protection hidden="1"/>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0" fillId="0" borderId="11" xfId="0" applyBorder="1" applyAlignment="1">
      <alignment horizontal="center"/>
    </xf>
    <xf numFmtId="0" fontId="0" fillId="0" borderId="10" xfId="0" applyBorder="1" applyAlignment="1">
      <alignment horizontal="center"/>
    </xf>
    <xf numFmtId="0" fontId="0" fillId="6" borderId="11" xfId="0" applyFill="1" applyBorder="1" applyAlignment="1">
      <alignment horizontal="center"/>
    </xf>
    <xf numFmtId="0" fontId="0" fillId="6" borderId="10" xfId="0" applyFill="1" applyBorder="1" applyAlignment="1">
      <alignment horizontal="center"/>
    </xf>
    <xf numFmtId="0" fontId="0" fillId="0" borderId="0" xfId="0" applyAlignment="1">
      <alignment wrapText="1"/>
    </xf>
    <xf numFmtId="0" fontId="7" fillId="0" borderId="20" xfId="0" applyFont="1" applyBorder="1" applyAlignment="1">
      <alignment horizontal="center"/>
    </xf>
    <xf numFmtId="0" fontId="7" fillId="0" borderId="20" xfId="0" applyFont="1" applyBorder="1" applyAlignment="1">
      <alignment horizontal="center" vertical="center"/>
    </xf>
    <xf numFmtId="0" fontId="10" fillId="0" borderId="20" xfId="0" applyFont="1" applyBorder="1" applyAlignment="1">
      <alignment horizontal="center"/>
    </xf>
  </cellXfs>
  <cellStyles count="2">
    <cellStyle name="Normal" xfId="0" builtinId="0"/>
    <cellStyle name="Porcentagem" xfId="1" builtinId="5"/>
  </cellStyles>
  <dxfs count="64">
    <dxf>
      <font>
        <color theme="0"/>
      </font>
      <border>
        <left/>
        <right/>
        <top/>
        <bottom/>
      </border>
    </dxf>
    <dxf>
      <font>
        <b/>
        <i val="0"/>
        <color theme="0"/>
      </font>
      <fill>
        <patternFill>
          <bgColor rgb="FFFF0000"/>
        </patternFill>
      </fill>
    </dxf>
    <dxf>
      <font>
        <color theme="0"/>
      </font>
      <fill>
        <patternFill>
          <bgColor rgb="FFFF0000"/>
        </patternFill>
      </fill>
    </dxf>
    <dxf>
      <font>
        <color theme="0"/>
      </font>
      <fill>
        <patternFill>
          <bgColor theme="0"/>
        </patternFill>
      </fill>
      <border>
        <left/>
        <right/>
        <top/>
        <bottom/>
        <vertical/>
        <horizontal/>
      </border>
    </dxf>
    <dxf>
      <border>
        <left/>
        <right/>
        <top/>
        <bottom/>
        <vertical/>
        <horizontal/>
      </border>
    </dxf>
    <dxf>
      <border>
        <left/>
        <right/>
        <top/>
        <bottom/>
        <vertical/>
        <horizontal/>
      </border>
    </dxf>
    <dxf>
      <font>
        <color theme="0"/>
      </font>
      <border>
        <left/>
        <right/>
        <top/>
        <bottom/>
        <vertical/>
        <horizontal/>
      </border>
    </dxf>
    <dxf>
      <fill>
        <patternFill>
          <bgColor rgb="FFFF0000"/>
        </patternFill>
      </fill>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border>
        <left/>
        <right/>
        <top/>
        <bottom/>
        <vertical/>
        <horizontal/>
      </border>
    </dxf>
    <dxf>
      <font>
        <color theme="0"/>
      </font>
      <fill>
        <patternFill>
          <bgColor theme="0"/>
        </patternFill>
      </fill>
      <border>
        <left/>
        <right/>
        <top/>
        <bottom/>
        <vertical/>
        <horizontal/>
      </border>
    </dxf>
    <dxf>
      <font>
        <color theme="0"/>
      </font>
      <fill>
        <patternFill>
          <f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border>
        <left/>
        <right/>
        <top/>
        <bottom/>
        <vertical/>
        <horizontal/>
      </border>
    </dxf>
    <dxf>
      <font>
        <color theme="0"/>
      </font>
      <fill>
        <patternFill>
          <bgColor theme="0"/>
        </patternFill>
      </fill>
      <border>
        <left/>
        <right/>
        <top/>
        <bottom/>
        <vertical/>
        <horizontal/>
      </border>
    </dxf>
    <dxf>
      <font>
        <b/>
        <i val="0"/>
        <color theme="0"/>
      </font>
      <fill>
        <patternFill>
          <bgColor rgb="FFFF0000"/>
        </patternFill>
      </fill>
    </dxf>
    <dxf>
      <font>
        <b/>
        <i val="0"/>
        <color theme="0"/>
      </font>
      <fill>
        <patternFill>
          <bgColor rgb="FFFF0000"/>
        </patternFill>
      </fill>
    </dxf>
    <dxf>
      <font>
        <b/>
        <i/>
        <color theme="0"/>
      </font>
      <fill>
        <patternFill>
          <bgColor rgb="FFFF0000"/>
        </patternFill>
      </fill>
    </dxf>
    <dxf>
      <font>
        <b/>
        <i/>
        <color theme="0"/>
      </font>
      <fill>
        <patternFill>
          <bgColor rgb="FFFF0000"/>
        </patternFill>
      </fill>
    </dxf>
    <dxf>
      <font>
        <b/>
        <i/>
        <color theme="0"/>
      </font>
      <fill>
        <patternFill>
          <bgColor rgb="FFFF00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FF0000"/>
        </patternFill>
      </fill>
    </dxf>
    <dxf>
      <border>
        <left/>
        <right/>
        <top/>
        <bottom/>
      </border>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fill>
        <patternFill>
          <fgColor theme="0"/>
        </patternFill>
      </fill>
      <border>
        <left/>
        <right/>
        <top/>
        <bottom/>
        <vertical/>
        <horizontal/>
      </border>
    </dxf>
    <dxf>
      <fill>
        <patternFill>
          <bgColor rgb="FFFF00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patternFill>
      </fill>
      <border>
        <left/>
        <right/>
        <top/>
        <bottom/>
        <vertical/>
        <horizontal/>
      </border>
    </dxf>
    <dxf>
      <font>
        <color theme="0"/>
      </font>
      <numFmt numFmtId="0" formatCode="General"/>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bgColor theme="0"/>
        </patternFill>
      </fill>
    </dxf>
    <dxf>
      <font>
        <color theme="0"/>
      </font>
      <fill>
        <patternFill>
          <fgColor theme="0"/>
        </patternFill>
      </fill>
      <border>
        <left/>
        <right/>
        <top/>
        <bottom/>
        <vertical/>
        <horizontal/>
      </border>
    </dxf>
    <dxf>
      <fill>
        <patternFill>
          <bgColor rgb="FFFF0000"/>
        </patternFill>
      </fill>
    </dxf>
    <dxf>
      <font>
        <color rgb="FF9C0006"/>
      </font>
      <fill>
        <patternFill>
          <bgColor rgb="FFFFC7CE"/>
        </patternFill>
      </fill>
    </dxf>
    <dxf>
      <font>
        <color theme="0"/>
      </font>
      <fill>
        <patternFill>
          <fgColor theme="0"/>
          <bgColor theme="0"/>
        </patternFill>
      </fill>
      <border>
        <left/>
        <right/>
        <top/>
        <bottom/>
        <vertical/>
        <horizontal/>
      </border>
    </dxf>
    <dxf>
      <font>
        <color rgb="FF9C0006"/>
      </font>
      <fill>
        <patternFill>
          <bgColor rgb="FFFFC7CE"/>
        </patternFill>
      </fill>
    </dxf>
    <dxf>
      <font>
        <color theme="0" tint="-4.9989318521683403E-2"/>
      </font>
      <fill>
        <patternFill>
          <bgColor theme="0" tint="-4.9989318521683403E-2"/>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Medium9"/>
  <colors>
    <mruColors>
      <color rgb="FFFFFFFF"/>
      <color rgb="FFFBC8AB"/>
      <color rgb="FFF9B691"/>
      <color rgb="FFF69660"/>
      <color rgb="FFF476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123825</xdr:colOff>
      <xdr:row>1</xdr:row>
      <xdr:rowOff>57150</xdr:rowOff>
    </xdr:from>
    <xdr:to>
      <xdr:col>9</xdr:col>
      <xdr:colOff>19050</xdr:colOff>
      <xdr:row>4</xdr:row>
      <xdr:rowOff>133350</xdr:rowOff>
    </xdr:to>
    <xdr:pic>
      <xdr:nvPicPr>
        <xdr:cNvPr id="1026" name="Imagem 2">
          <a:extLst>
            <a:ext uri="{FF2B5EF4-FFF2-40B4-BE49-F238E27FC236}">
              <a16:creationId xmlns:a16="http://schemas.microsoft.com/office/drawing/2014/main" id="{3D3696E7-A0BC-74E9-54AC-CF5EEE06A1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247650"/>
          <a:ext cx="134302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ruan_dutra_cemig_com_br/Documents/Documentos/Regulamenta&#231;&#227;o%20Lei%2014300/Formulario/Proposta%20Desbloqueado/Formulario-MiniGD_rev_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ruan_dutra_cemig_com_br/Documents/Documentos/Regulamenta&#231;&#227;o%20Lei%2014300/Formulario/Proposta%20Desbloqueado/Formulario-MicroGD_Rev_j%20DESBLOQ.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cemigbr.sharepoint.com/sites/ParecerdeAcessoRCGD/Documentos%20Compartilhados/FORMULARIOS/MINI/REV%20O/Formulario-MiniGD_rev_O.xlsx" TargetMode="External"/><Relationship Id="rId1" Type="http://schemas.openxmlformats.org/officeDocument/2006/relationships/externalLinkPath" Target="/sites/ParecerdeAcessoRCGD/Documentos%20Compartilhados/FORMULARIOS/MINI/REV%20O/Formulario-MiniGD_rev_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ário"/>
      <sheetName val="Seg Barragem"/>
      <sheetName val="Resp Seg Barragem"/>
      <sheetName val="Notas Explicativas"/>
      <sheetName val="Apoio"/>
      <sheetName val="Dados"/>
      <sheetName val="Conferencia"/>
      <sheetName val="ControleREV"/>
    </sheetNames>
    <sheetDataSet>
      <sheetData sheetId="0" refreshError="1">
        <row r="16">
          <cell r="E16" t="str">
            <v>A</v>
          </cell>
        </row>
        <row r="50">
          <cell r="K50">
            <v>0</v>
          </cell>
        </row>
        <row r="57">
          <cell r="L57" t="str">
            <v>Solar</v>
          </cell>
          <cell r="AT57" t="str">
            <v/>
          </cell>
        </row>
      </sheetData>
      <sheetData sheetId="1" refreshError="1"/>
      <sheetData sheetId="2" refreshError="1"/>
      <sheetData sheetId="3" refreshError="1"/>
      <sheetData sheetId="4" refreshError="1">
        <row r="12">
          <cell r="B12">
            <v>40</v>
          </cell>
        </row>
        <row r="13">
          <cell r="B13">
            <v>50</v>
          </cell>
        </row>
        <row r="14">
          <cell r="B14">
            <v>63</v>
          </cell>
        </row>
        <row r="15">
          <cell r="B15">
            <v>70</v>
          </cell>
        </row>
        <row r="16">
          <cell r="B16">
            <v>40</v>
          </cell>
        </row>
        <row r="17">
          <cell r="B17">
            <v>50</v>
          </cell>
        </row>
        <row r="18">
          <cell r="B18">
            <v>60</v>
          </cell>
        </row>
        <row r="19">
          <cell r="B19">
            <v>63</v>
          </cell>
        </row>
        <row r="20">
          <cell r="B20">
            <v>70</v>
          </cell>
        </row>
        <row r="21">
          <cell r="B21">
            <v>80</v>
          </cell>
        </row>
        <row r="22">
          <cell r="B22">
            <v>90</v>
          </cell>
        </row>
        <row r="23">
          <cell r="B23">
            <v>100</v>
          </cell>
        </row>
        <row r="24">
          <cell r="B24">
            <v>120</v>
          </cell>
        </row>
        <row r="25">
          <cell r="B25">
            <v>125</v>
          </cell>
        </row>
        <row r="26">
          <cell r="B26">
            <v>150</v>
          </cell>
        </row>
        <row r="27">
          <cell r="B27">
            <v>200</v>
          </cell>
        </row>
        <row r="28">
          <cell r="B28">
            <v>40</v>
          </cell>
        </row>
        <row r="29">
          <cell r="B29">
            <v>60</v>
          </cell>
        </row>
        <row r="30">
          <cell r="B30">
            <v>63</v>
          </cell>
        </row>
        <row r="31">
          <cell r="B31">
            <v>70</v>
          </cell>
        </row>
        <row r="32">
          <cell r="B32">
            <v>80</v>
          </cell>
        </row>
        <row r="33">
          <cell r="B33">
            <v>100</v>
          </cell>
        </row>
        <row r="34">
          <cell r="B34">
            <v>120</v>
          </cell>
        </row>
        <row r="35">
          <cell r="B35">
            <v>125</v>
          </cell>
        </row>
        <row r="36">
          <cell r="B36">
            <v>150</v>
          </cell>
        </row>
        <row r="37">
          <cell r="B37">
            <v>175</v>
          </cell>
        </row>
        <row r="38">
          <cell r="B38">
            <v>200</v>
          </cell>
        </row>
        <row r="39">
          <cell r="B39">
            <v>225</v>
          </cell>
        </row>
        <row r="40">
          <cell r="B40">
            <v>250</v>
          </cell>
        </row>
        <row r="41">
          <cell r="B41">
            <v>300</v>
          </cell>
        </row>
        <row r="42">
          <cell r="B42">
            <v>315</v>
          </cell>
        </row>
        <row r="43">
          <cell r="B43">
            <v>320</v>
          </cell>
        </row>
        <row r="44">
          <cell r="B44">
            <v>400</v>
          </cell>
        </row>
        <row r="45">
          <cell r="B45">
            <v>450</v>
          </cell>
        </row>
        <row r="46">
          <cell r="B46">
            <v>500</v>
          </cell>
        </row>
        <row r="47">
          <cell r="B47">
            <v>600</v>
          </cell>
        </row>
        <row r="48">
          <cell r="B48">
            <v>630</v>
          </cell>
        </row>
        <row r="49">
          <cell r="B49">
            <v>700</v>
          </cell>
        </row>
        <row r="50">
          <cell r="B50">
            <v>800</v>
          </cell>
        </row>
        <row r="59">
          <cell r="B59">
            <v>60</v>
          </cell>
        </row>
        <row r="60">
          <cell r="B60">
            <v>63</v>
          </cell>
        </row>
        <row r="61">
          <cell r="B61">
            <v>90</v>
          </cell>
        </row>
        <row r="62">
          <cell r="B62">
            <v>100</v>
          </cell>
        </row>
        <row r="63">
          <cell r="B63">
            <v>120</v>
          </cell>
        </row>
        <row r="64">
          <cell r="B64">
            <v>125</v>
          </cell>
        </row>
        <row r="65">
          <cell r="B65">
            <v>150</v>
          </cell>
        </row>
        <row r="66">
          <cell r="B66">
            <v>200</v>
          </cell>
        </row>
        <row r="67">
          <cell r="B67">
            <v>60</v>
          </cell>
        </row>
        <row r="68">
          <cell r="B68">
            <v>63</v>
          </cell>
        </row>
        <row r="69">
          <cell r="B69">
            <v>70</v>
          </cell>
        </row>
        <row r="70">
          <cell r="B70">
            <v>80</v>
          </cell>
        </row>
        <row r="71">
          <cell r="B71">
            <v>100</v>
          </cell>
        </row>
        <row r="72">
          <cell r="B72">
            <v>120</v>
          </cell>
        </row>
        <row r="73">
          <cell r="B73">
            <v>125</v>
          </cell>
        </row>
        <row r="74">
          <cell r="B74">
            <v>150</v>
          </cell>
        </row>
        <row r="75">
          <cell r="B75">
            <v>175</v>
          </cell>
        </row>
        <row r="76">
          <cell r="B76">
            <v>200</v>
          </cell>
        </row>
        <row r="77">
          <cell r="B77">
            <v>225</v>
          </cell>
        </row>
        <row r="78">
          <cell r="B78">
            <v>250</v>
          </cell>
        </row>
        <row r="79">
          <cell r="B79">
            <v>300</v>
          </cell>
        </row>
        <row r="80">
          <cell r="B80">
            <v>315</v>
          </cell>
        </row>
        <row r="81">
          <cell r="B81">
            <v>320</v>
          </cell>
        </row>
        <row r="82">
          <cell r="B82">
            <v>400</v>
          </cell>
        </row>
        <row r="83">
          <cell r="B83">
            <v>450</v>
          </cell>
        </row>
        <row r="84">
          <cell r="B84">
            <v>500</v>
          </cell>
        </row>
        <row r="85">
          <cell r="B85">
            <v>600</v>
          </cell>
        </row>
        <row r="86">
          <cell r="B86">
            <v>630</v>
          </cell>
        </row>
        <row r="87">
          <cell r="B87">
            <v>700</v>
          </cell>
        </row>
        <row r="88">
          <cell r="B88">
            <v>800</v>
          </cell>
        </row>
        <row r="89">
          <cell r="B89">
            <v>1000</v>
          </cell>
        </row>
        <row r="90">
          <cell r="B90">
            <v>1200</v>
          </cell>
        </row>
        <row r="91">
          <cell r="B91">
            <v>1500</v>
          </cell>
        </row>
        <row r="92">
          <cell r="B92">
            <v>1800</v>
          </cell>
        </row>
        <row r="93">
          <cell r="B93">
            <v>2100</v>
          </cell>
        </row>
      </sheetData>
      <sheetData sheetId="5" refreshError="1">
        <row r="3">
          <cell r="V3">
            <v>0</v>
          </cell>
        </row>
        <row r="4">
          <cell r="B4" t="str">
            <v>Conexão de GD em Unidade Consumidora Existente COM Alteração de Demanda Contratada</v>
          </cell>
          <cell r="R4">
            <v>1</v>
          </cell>
        </row>
        <row r="5">
          <cell r="B5" t="str">
            <v>Conexão de GD em Unidade Consumidora Existente SEM Alteração de Demanda Contratada</v>
          </cell>
          <cell r="P5">
            <v>112.5</v>
          </cell>
          <cell r="R5">
            <v>2</v>
          </cell>
          <cell r="V5" t="str">
            <v>Sim</v>
          </cell>
        </row>
        <row r="6">
          <cell r="B6" t="str">
            <v>GD Existente COM Alteração de Potência Ativa Instalada Total de Geração</v>
          </cell>
          <cell r="P6">
            <v>150</v>
          </cell>
          <cell r="R6">
            <v>3</v>
          </cell>
          <cell r="V6" t="str">
            <v>Não</v>
          </cell>
        </row>
        <row r="7">
          <cell r="B7" t="str">
            <v>Ligação de Nova Unidade Consumidora COM Geração Distribuída</v>
          </cell>
          <cell r="P7">
            <v>225</v>
          </cell>
          <cell r="R7">
            <v>4</v>
          </cell>
        </row>
        <row r="8">
          <cell r="P8">
            <v>300</v>
          </cell>
        </row>
        <row r="10">
          <cell r="I10" t="e">
            <v>#N/A</v>
          </cell>
          <cell r="J10" t="e">
            <v>#N/A</v>
          </cell>
          <cell r="K10" t="e">
            <v>#N/A</v>
          </cell>
          <cell r="L10" t="e">
            <v>#N/A</v>
          </cell>
        </row>
        <row r="20">
          <cell r="C20">
            <v>13800</v>
          </cell>
        </row>
        <row r="21">
          <cell r="C21">
            <v>22000</v>
          </cell>
        </row>
        <row r="22">
          <cell r="C22">
            <v>34500</v>
          </cell>
        </row>
        <row r="30">
          <cell r="B30" t="str">
            <v>Aéreo</v>
          </cell>
        </row>
        <row r="31">
          <cell r="B31" t="str">
            <v>Subterrâneo</v>
          </cell>
        </row>
        <row r="34">
          <cell r="B34" t="str">
            <v>∆-Y</v>
          </cell>
        </row>
        <row r="35">
          <cell r="B35" t="str">
            <v>∆-∆</v>
          </cell>
        </row>
        <row r="36">
          <cell r="B36" t="str">
            <v>Y-∆</v>
          </cell>
        </row>
        <row r="37">
          <cell r="B37" t="str">
            <v>Y-Y</v>
          </cell>
        </row>
      </sheetData>
      <sheetData sheetId="6" refreshError="1">
        <row r="2">
          <cell r="D2" t="str">
            <v>O campo "Número do Cliente" deve ser preenchido.</v>
          </cell>
        </row>
      </sheetData>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ário"/>
      <sheetName val="Seg Barragem"/>
      <sheetName val="Notas Explicativas"/>
      <sheetName val="Dados"/>
      <sheetName val="Apoio"/>
      <sheetName val="Conferencia"/>
      <sheetName val="Resp Seg Barragem"/>
      <sheetName val="ControleREV"/>
    </sheetNames>
    <sheetDataSet>
      <sheetData sheetId="0">
        <row r="45">
          <cell r="H45" t="str">
            <v xml:space="preserve"> Relé de Proteção Secundária</v>
          </cell>
        </row>
        <row r="47">
          <cell r="H47" t="str">
            <v/>
          </cell>
        </row>
        <row r="49">
          <cell r="H49" t="str">
            <v/>
          </cell>
        </row>
      </sheetData>
      <sheetData sheetId="1"/>
      <sheetData sheetId="2" refreshError="1"/>
      <sheetData sheetId="3">
        <row r="4">
          <cell r="D4">
            <v>0</v>
          </cell>
        </row>
        <row r="5">
          <cell r="D5">
            <v>0</v>
          </cell>
        </row>
        <row r="6">
          <cell r="D6">
            <v>0</v>
          </cell>
        </row>
        <row r="7">
          <cell r="D7">
            <v>0</v>
          </cell>
        </row>
        <row r="13">
          <cell r="B13" t="str">
            <v xml:space="preserve">Edificação Individual </v>
          </cell>
        </row>
        <row r="14">
          <cell r="B14" t="str">
            <v xml:space="preserve">Edificação de Uso Coletivo (telhado coletivo ou em área comum do condomínio)      </v>
          </cell>
        </row>
        <row r="15">
          <cell r="B15" t="str">
            <v xml:space="preserve">Edificação de Uso Coletivo (telhado independente e privativo)   </v>
          </cell>
        </row>
        <row r="16">
          <cell r="B16" t="str">
            <v>Agrupamento</v>
          </cell>
        </row>
        <row r="35">
          <cell r="B35" t="str">
            <v>Monopolar</v>
          </cell>
        </row>
        <row r="36">
          <cell r="B36" t="str">
            <v>Bipolar</v>
          </cell>
        </row>
        <row r="37">
          <cell r="B37" t="str">
            <v>Tripolar</v>
          </cell>
        </row>
        <row r="38">
          <cell r="B38" t="str">
            <v>Sem Disj. Geral</v>
          </cell>
        </row>
        <row r="42">
          <cell r="B42" t="str">
            <v>Monopolar</v>
          </cell>
        </row>
        <row r="43">
          <cell r="B43" t="str">
            <v>Bipolar</v>
          </cell>
        </row>
        <row r="44">
          <cell r="B44" t="str">
            <v>Tripolar</v>
          </cell>
        </row>
        <row r="45">
          <cell r="B45" t="str">
            <v>Sem Alter. Carga</v>
          </cell>
        </row>
      </sheetData>
      <sheetData sheetId="4">
        <row r="5">
          <cell r="A5" t="str">
            <v>GD Existente COM Alteração de Potência Ativa Instalada Total</v>
          </cell>
        </row>
        <row r="133">
          <cell r="B133">
            <v>100</v>
          </cell>
        </row>
        <row r="134">
          <cell r="B134">
            <v>120</v>
          </cell>
        </row>
        <row r="135">
          <cell r="B135">
            <v>125</v>
          </cell>
        </row>
        <row r="136">
          <cell r="B136">
            <v>150</v>
          </cell>
        </row>
        <row r="137">
          <cell r="B137">
            <v>175</v>
          </cell>
        </row>
        <row r="138">
          <cell r="B138">
            <v>200</v>
          </cell>
        </row>
        <row r="139">
          <cell r="B139">
            <v>250</v>
          </cell>
        </row>
        <row r="140">
          <cell r="B140">
            <v>300</v>
          </cell>
        </row>
        <row r="141">
          <cell r="B141">
            <v>315</v>
          </cell>
        </row>
        <row r="142">
          <cell r="B142">
            <v>320</v>
          </cell>
        </row>
        <row r="143">
          <cell r="B143">
            <v>350</v>
          </cell>
        </row>
        <row r="144">
          <cell r="B144">
            <v>400</v>
          </cell>
        </row>
        <row r="145">
          <cell r="B145">
            <v>500</v>
          </cell>
        </row>
        <row r="146">
          <cell r="B146">
            <v>600</v>
          </cell>
        </row>
        <row r="147">
          <cell r="B147">
            <v>630</v>
          </cell>
        </row>
        <row r="148">
          <cell r="B148">
            <v>800</v>
          </cell>
        </row>
      </sheetData>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ulário"/>
      <sheetName val="Notas Explicativas"/>
      <sheetName val="Resp Seg Barragem"/>
      <sheetName val="Apoio"/>
      <sheetName val="Dados"/>
      <sheetName val="Conferencia"/>
      <sheetName val="Conversao Potência"/>
      <sheetName val="GFC"/>
      <sheetName val="Revisao"/>
    </sheetNames>
    <sheetDataSet>
      <sheetData sheetId="0" refreshError="1"/>
      <sheetData sheetId="1" refreshError="1"/>
      <sheetData sheetId="2" refreshError="1"/>
      <sheetData sheetId="3" refreshError="1"/>
      <sheetData sheetId="4">
        <row r="3">
          <cell r="V3">
            <v>0</v>
          </cell>
        </row>
        <row r="5">
          <cell r="V5" t="str">
            <v>Sim</v>
          </cell>
        </row>
        <row r="6">
          <cell r="V6" t="str">
            <v>Não</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1">
    <tabColor rgb="FF00B050"/>
    <pageSetUpPr fitToPage="1"/>
  </sheetPr>
  <dimension ref="A2:AX297"/>
  <sheetViews>
    <sheetView showGridLines="0" showRowColHeaders="0" tabSelected="1" zoomScaleNormal="100" workbookViewId="0">
      <pane ySplit="9" topLeftCell="A10" activePane="bottomLeft" state="frozen"/>
      <selection pane="bottomLeft" activeCell="J12" sqref="J12:N12"/>
    </sheetView>
  </sheetViews>
  <sheetFormatPr defaultColWidth="0" defaultRowHeight="15" x14ac:dyDescent="0.25"/>
  <cols>
    <col min="1" max="30" width="2.7109375" customWidth="1"/>
    <col min="31" max="31" width="3.85546875" customWidth="1"/>
    <col min="32" max="43" width="2.7109375" customWidth="1"/>
    <col min="44" max="44" width="3.42578125" customWidth="1"/>
    <col min="45" max="45" width="3.140625" customWidth="1"/>
    <col min="46" max="48" width="2.7109375" customWidth="1"/>
    <col min="49" max="49" width="0.7109375" customWidth="1"/>
    <col min="50" max="50" width="2.7109375" customWidth="1"/>
    <col min="51" max="16384" width="2.7109375" hidden="1"/>
  </cols>
  <sheetData>
    <row r="2" spans="2:49" ht="15" customHeight="1" x14ac:dyDescent="0.25">
      <c r="B2" s="13"/>
      <c r="C2" s="14"/>
      <c r="D2" s="14"/>
      <c r="E2" s="14"/>
      <c r="F2" s="14"/>
      <c r="G2" s="14"/>
      <c r="H2" s="14"/>
      <c r="I2" s="14"/>
      <c r="J2" s="14"/>
      <c r="K2" s="14"/>
      <c r="L2" s="140" t="str">
        <f>"      FORMULÁRIO DE SOLICITAÇÃO DE ACESSO PARA MICROGERAÇÃO DISTRIBUÍDA "&amp;IF(OR(AT95=0,AT95=""),"",IF(AT95&lt;=10," COM POTÊNCIA IGUAL OU INFERIOR A 10kW     "," COM POTÊNCIA SUPERIOR A 10 KW      "))</f>
        <v xml:space="preserve">      FORMULÁRIO DE SOLICITAÇÃO DE ACESSO PARA MICROGERAÇÃO DISTRIBUÍDA </v>
      </c>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41"/>
      <c r="AU2" s="41"/>
      <c r="AV2" s="41"/>
      <c r="AW2" s="15"/>
    </row>
    <row r="3" spans="2:49" ht="15" customHeight="1" x14ac:dyDescent="0.25">
      <c r="B3" s="10"/>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141"/>
      <c r="AM3" s="141"/>
      <c r="AN3" s="141"/>
      <c r="AO3" s="141"/>
      <c r="AP3" s="141"/>
      <c r="AQ3" s="141"/>
      <c r="AR3" s="141"/>
      <c r="AS3" s="141"/>
      <c r="AT3" s="42"/>
      <c r="AU3" s="42"/>
      <c r="AV3" s="42"/>
      <c r="AW3" s="8"/>
    </row>
    <row r="4" spans="2:49" ht="15" customHeight="1" x14ac:dyDescent="0.25">
      <c r="B4" s="10"/>
      <c r="L4" s="141"/>
      <c r="M4" s="141"/>
      <c r="N4" s="141"/>
      <c r="O4" s="141"/>
      <c r="P4" s="141"/>
      <c r="Q4" s="141"/>
      <c r="R4" s="141"/>
      <c r="S4" s="141"/>
      <c r="T4" s="141"/>
      <c r="U4" s="141"/>
      <c r="V4" s="141"/>
      <c r="W4" s="141"/>
      <c r="X4" s="141"/>
      <c r="Y4" s="141"/>
      <c r="Z4" s="141"/>
      <c r="AA4" s="141"/>
      <c r="AB4" s="141"/>
      <c r="AC4" s="141"/>
      <c r="AD4" s="141"/>
      <c r="AE4" s="141"/>
      <c r="AF4" s="141"/>
      <c r="AG4" s="141"/>
      <c r="AH4" s="141"/>
      <c r="AI4" s="141"/>
      <c r="AJ4" s="141"/>
      <c r="AK4" s="141"/>
      <c r="AL4" s="141"/>
      <c r="AM4" s="141"/>
      <c r="AN4" s="141"/>
      <c r="AO4" s="141"/>
      <c r="AP4" s="141"/>
      <c r="AQ4" s="141"/>
      <c r="AR4" s="141"/>
      <c r="AS4" s="141"/>
      <c r="AT4" s="42"/>
      <c r="AU4" s="42"/>
      <c r="AV4" s="42"/>
      <c r="AW4" s="8"/>
    </row>
    <row r="5" spans="2:49" x14ac:dyDescent="0.25">
      <c r="B5" s="11"/>
      <c r="C5" s="1"/>
      <c r="D5" s="1"/>
      <c r="E5" s="1"/>
      <c r="F5" s="1"/>
      <c r="G5" s="1"/>
      <c r="H5" s="1"/>
      <c r="I5" s="1"/>
      <c r="J5" s="1"/>
      <c r="K5" s="1"/>
      <c r="L5" s="143" t="s">
        <v>408</v>
      </c>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2"/>
    </row>
    <row r="6" spans="2:49" ht="3" customHeight="1" x14ac:dyDescent="0.25"/>
    <row r="7" spans="2:49" s="56" customFormat="1" ht="9" customHeight="1" x14ac:dyDescent="0.25">
      <c r="B7" s="155" t="str">
        <f>Mensagem_Erro</f>
        <v>O campo "Número da Instalação" deve ser preenchido.</v>
      </c>
      <c r="C7" s="155"/>
      <c r="D7" s="155"/>
      <c r="E7" s="155"/>
      <c r="F7" s="155"/>
      <c r="G7" s="155"/>
      <c r="H7" s="155"/>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155"/>
      <c r="AV7" s="155"/>
      <c r="AW7" s="155"/>
    </row>
    <row r="8" spans="2:49" s="56" customFormat="1" ht="9" customHeight="1" x14ac:dyDescent="0.25">
      <c r="B8" s="155"/>
      <c r="C8" s="155"/>
      <c r="D8" s="155"/>
      <c r="E8" s="155"/>
      <c r="F8" s="155"/>
      <c r="G8" s="155"/>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row>
    <row r="9" spans="2:49" ht="3" customHeight="1" x14ac:dyDescent="0.25"/>
    <row r="10" spans="2:49" x14ac:dyDescent="0.25">
      <c r="B10" s="152" t="s">
        <v>0</v>
      </c>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22"/>
    </row>
    <row r="11" spans="2:49" ht="3" customHeight="1" thickBot="1" x14ac:dyDescent="0.3">
      <c r="B11" s="39"/>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15"/>
    </row>
    <row r="12" spans="2:49" x14ac:dyDescent="0.25">
      <c r="B12" s="10" t="s">
        <v>6</v>
      </c>
      <c r="J12" s="102"/>
      <c r="K12" s="104"/>
      <c r="L12" s="104"/>
      <c r="M12" s="104"/>
      <c r="N12" s="103"/>
      <c r="Q12" t="s">
        <v>384</v>
      </c>
      <c r="AL12" s="102" t="s">
        <v>222</v>
      </c>
      <c r="AM12" s="103"/>
      <c r="AN12" s="95" t="str">
        <f>IF(AL12=Dados!V5,"Ver itens 8.5.3 e 10","")</f>
        <v/>
      </c>
      <c r="AO12" s="95"/>
      <c r="AW12" s="8"/>
    </row>
    <row r="13" spans="2:49" ht="3" customHeight="1" thickBot="1" x14ac:dyDescent="0.3">
      <c r="B13" s="10"/>
      <c r="J13" s="93"/>
      <c r="K13" s="93"/>
      <c r="L13" s="93"/>
      <c r="M13" s="93"/>
      <c r="N13" s="93"/>
      <c r="AL13" s="93"/>
      <c r="AM13" s="93"/>
      <c r="AN13" s="95"/>
      <c r="AO13" s="95"/>
      <c r="AW13" s="8"/>
    </row>
    <row r="14" spans="2:49" ht="24.95" customHeight="1" x14ac:dyDescent="0.25">
      <c r="B14" s="10" t="s">
        <v>400</v>
      </c>
      <c r="O14" s="102" t="s">
        <v>222</v>
      </c>
      <c r="P14" s="103"/>
      <c r="Q14" s="246" t="str">
        <f>IF(O14="Sim","A unidade consumidora (UC) com Grid Zero pode participar do SCEE apenas recebendo execedente de outras unidades consumidoras com MMGD. Verificar item 8.5.1.Obs: A UC não pode ser FAST TRACK e Grid Zero ao mesmo tempo.","")</f>
        <v/>
      </c>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8"/>
    </row>
    <row r="15" spans="2:49" ht="3" customHeight="1" thickBot="1" x14ac:dyDescent="0.3">
      <c r="B15" s="9"/>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8"/>
    </row>
    <row r="16" spans="2:49" x14ac:dyDescent="0.25">
      <c r="B16" s="10" t="s">
        <v>48</v>
      </c>
      <c r="M16" s="20"/>
      <c r="N16" s="119"/>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1"/>
      <c r="AW16" s="8"/>
    </row>
    <row r="17" spans="2:49" ht="3" customHeight="1" thickBot="1" x14ac:dyDescent="0.3">
      <c r="B17" s="9"/>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8"/>
    </row>
    <row r="18" spans="2:49" x14ac:dyDescent="0.25">
      <c r="B18" s="10" t="s">
        <v>15</v>
      </c>
      <c r="E18" s="102" t="s">
        <v>397</v>
      </c>
      <c r="F18" s="103"/>
      <c r="H18" s="100" t="str">
        <f>IF(J12&lt;&gt;"",,Apoio!M2)</f>
        <v>Classe*:</v>
      </c>
      <c r="K18" s="129"/>
      <c r="L18" s="130"/>
      <c r="M18" s="130"/>
      <c r="N18" s="130"/>
      <c r="O18" s="130"/>
      <c r="P18" s="130"/>
      <c r="Q18" s="131"/>
      <c r="Y18" t="s">
        <v>14</v>
      </c>
      <c r="AC18" s="176"/>
      <c r="AD18" s="177"/>
      <c r="AE18" s="177"/>
      <c r="AF18" s="177"/>
      <c r="AG18" s="177"/>
      <c r="AH18" s="177"/>
      <c r="AI18" s="178"/>
      <c r="AJ18" s="3"/>
      <c r="AK18" s="3"/>
      <c r="AL18" s="3"/>
      <c r="AW18" s="8"/>
    </row>
    <row r="19" spans="2:49" ht="3" customHeight="1" thickBot="1" x14ac:dyDescent="0.3">
      <c r="B19" s="10"/>
      <c r="E19" s="2"/>
      <c r="AC19" s="4"/>
      <c r="AD19" s="4"/>
      <c r="AE19" s="4"/>
      <c r="AF19" s="4"/>
      <c r="AG19" s="4"/>
      <c r="AH19" s="4"/>
      <c r="AI19" s="4"/>
      <c r="AJ19" s="3"/>
      <c r="AK19" s="3"/>
      <c r="AL19" s="3"/>
      <c r="AW19" s="8"/>
    </row>
    <row r="20" spans="2:49" x14ac:dyDescent="0.25">
      <c r="B20" s="10" t="s">
        <v>16</v>
      </c>
      <c r="G20" s="119"/>
      <c r="H20" s="120"/>
      <c r="I20" s="120"/>
      <c r="J20" s="120"/>
      <c r="K20" s="120"/>
      <c r="L20" s="120"/>
      <c r="M20" s="120"/>
      <c r="N20" s="120"/>
      <c r="O20" s="120"/>
      <c r="P20" s="120"/>
      <c r="Q20" s="120"/>
      <c r="R20" s="120"/>
      <c r="S20" s="120"/>
      <c r="T20" s="120"/>
      <c r="U20" s="120"/>
      <c r="V20" s="120"/>
      <c r="W20" s="120"/>
      <c r="X20" s="120"/>
      <c r="Y20" s="120"/>
      <c r="Z20" s="120"/>
      <c r="AA20" s="120"/>
      <c r="AB20" s="120"/>
      <c r="AC20" s="120"/>
      <c r="AD20" s="121"/>
      <c r="AE20" s="127" t="s">
        <v>17</v>
      </c>
      <c r="AF20" s="127"/>
      <c r="AG20" s="127"/>
      <c r="AH20" s="128"/>
      <c r="AI20" s="102"/>
      <c r="AJ20" s="104"/>
      <c r="AK20" s="103"/>
      <c r="AL20" s="127" t="s">
        <v>41</v>
      </c>
      <c r="AM20" s="127"/>
      <c r="AN20" s="127"/>
      <c r="AO20" s="127"/>
      <c r="AP20" s="127"/>
      <c r="AQ20" s="127"/>
      <c r="AR20" s="102"/>
      <c r="AS20" s="104"/>
      <c r="AT20" s="104"/>
      <c r="AU20" s="104"/>
      <c r="AV20" s="103"/>
      <c r="AW20" s="8"/>
    </row>
    <row r="21" spans="2:49" ht="3" customHeight="1" thickBot="1" x14ac:dyDescent="0.3">
      <c r="B21" s="10"/>
      <c r="AW21" s="8"/>
    </row>
    <row r="22" spans="2:49" x14ac:dyDescent="0.25">
      <c r="B22" s="10" t="s">
        <v>21</v>
      </c>
      <c r="E22" s="119"/>
      <c r="F22" s="120"/>
      <c r="G22" s="120"/>
      <c r="H22" s="120"/>
      <c r="I22" s="120"/>
      <c r="J22" s="120"/>
      <c r="K22" s="120"/>
      <c r="L22" s="120"/>
      <c r="M22" s="120"/>
      <c r="N22" s="121"/>
      <c r="P22" s="127" t="s">
        <v>20</v>
      </c>
      <c r="Q22" s="127"/>
      <c r="R22" s="127"/>
      <c r="S22" s="127"/>
      <c r="T22" s="119"/>
      <c r="U22" s="120"/>
      <c r="V22" s="120"/>
      <c r="W22" s="120"/>
      <c r="X22" s="120"/>
      <c r="Y22" s="120"/>
      <c r="Z22" s="120"/>
      <c r="AA22" s="120"/>
      <c r="AB22" s="120"/>
      <c r="AC22" s="120"/>
      <c r="AD22" s="120"/>
      <c r="AE22" s="120"/>
      <c r="AF22" s="120"/>
      <c r="AG22" s="120"/>
      <c r="AH22" s="120"/>
      <c r="AI22" s="121"/>
      <c r="AK22" s="127" t="s">
        <v>18</v>
      </c>
      <c r="AL22" s="127"/>
      <c r="AM22" s="128"/>
      <c r="AN22" s="102" t="s">
        <v>312</v>
      </c>
      <c r="AO22" s="103"/>
      <c r="AQ22" s="127" t="s">
        <v>19</v>
      </c>
      <c r="AR22" s="128"/>
      <c r="AS22" s="132"/>
      <c r="AT22" s="133"/>
      <c r="AU22" s="133"/>
      <c r="AV22" s="134"/>
      <c r="AW22" s="8"/>
    </row>
    <row r="23" spans="2:49" ht="3" customHeight="1" thickBot="1" x14ac:dyDescent="0.3">
      <c r="B23" s="10"/>
      <c r="AW23" s="8"/>
    </row>
    <row r="24" spans="2:49" x14ac:dyDescent="0.25">
      <c r="B24" s="10" t="s">
        <v>1</v>
      </c>
      <c r="F24" s="186"/>
      <c r="G24" s="187"/>
      <c r="H24" s="187"/>
      <c r="I24" s="187"/>
      <c r="J24" s="188"/>
      <c r="L24" t="s">
        <v>235</v>
      </c>
      <c r="O24" s="199"/>
      <c r="P24" s="200"/>
      <c r="Q24" s="200"/>
      <c r="R24" s="200"/>
      <c r="S24" s="200"/>
      <c r="T24" s="201"/>
      <c r="V24" s="127" t="s">
        <v>69</v>
      </c>
      <c r="W24" s="127"/>
      <c r="X24" s="127"/>
      <c r="Y24" s="196"/>
      <c r="Z24" s="197"/>
      <c r="AA24" s="197"/>
      <c r="AB24" s="197"/>
      <c r="AC24" s="197"/>
      <c r="AD24" s="197"/>
      <c r="AE24" s="197"/>
      <c r="AF24" s="197"/>
      <c r="AG24" s="197"/>
      <c r="AH24" s="197"/>
      <c r="AI24" s="197"/>
      <c r="AJ24" s="197"/>
      <c r="AK24" s="197"/>
      <c r="AL24" s="197"/>
      <c r="AM24" s="197"/>
      <c r="AN24" s="197"/>
      <c r="AO24" s="197"/>
      <c r="AP24" s="197"/>
      <c r="AQ24" s="197"/>
      <c r="AR24" s="197"/>
      <c r="AS24" s="197"/>
      <c r="AT24" s="197"/>
      <c r="AU24" s="197"/>
      <c r="AV24" s="198"/>
      <c r="AW24" s="8"/>
    </row>
    <row r="25" spans="2:49" ht="3" customHeight="1" x14ac:dyDescent="0.25">
      <c r="B25" s="1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2"/>
    </row>
    <row r="26" spans="2:49" ht="3" customHeight="1" x14ac:dyDescent="0.25">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row>
    <row r="27" spans="2:49" x14ac:dyDescent="0.25">
      <c r="B27" s="184" t="s">
        <v>2</v>
      </c>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34"/>
    </row>
    <row r="28" spans="2:49" ht="3" customHeight="1" thickBot="1" x14ac:dyDescent="0.3">
      <c r="B28" s="13"/>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v>1620000</v>
      </c>
      <c r="AE28" s="14"/>
      <c r="AF28" s="14"/>
      <c r="AG28" s="14"/>
      <c r="AH28" s="14"/>
      <c r="AI28" s="14"/>
      <c r="AJ28" s="14"/>
      <c r="AK28" s="14"/>
      <c r="AL28" s="14"/>
      <c r="AM28" s="14"/>
      <c r="AN28" s="14"/>
      <c r="AO28" s="14"/>
      <c r="AP28" s="14"/>
      <c r="AQ28" s="14"/>
      <c r="AR28" s="14"/>
      <c r="AS28" s="14"/>
      <c r="AT28" s="14"/>
      <c r="AU28" s="14"/>
      <c r="AV28" s="14"/>
      <c r="AW28" s="15"/>
    </row>
    <row r="29" spans="2:49" x14ac:dyDescent="0.25">
      <c r="B29" s="10" t="s">
        <v>313</v>
      </c>
      <c r="T29" s="127" t="s">
        <v>3</v>
      </c>
      <c r="U29" s="127"/>
      <c r="V29" s="102"/>
      <c r="W29" s="103"/>
      <c r="X29" s="127" t="s">
        <v>4</v>
      </c>
      <c r="Y29" s="127"/>
      <c r="Z29" s="127"/>
      <c r="AA29" s="127"/>
      <c r="AB29" s="127"/>
      <c r="AC29" s="102"/>
      <c r="AD29" s="104"/>
      <c r="AE29" s="103"/>
      <c r="AG29" s="127" t="s">
        <v>5</v>
      </c>
      <c r="AH29" s="127"/>
      <c r="AI29" s="127"/>
      <c r="AJ29" s="127"/>
      <c r="AK29" s="127"/>
      <c r="AL29" s="102"/>
      <c r="AM29" s="104"/>
      <c r="AN29" s="103"/>
      <c r="AW29" s="8"/>
    </row>
    <row r="30" spans="2:49" ht="3" customHeight="1" x14ac:dyDescent="0.25">
      <c r="B30" s="10"/>
      <c r="AF30" s="7"/>
      <c r="AG30" s="7"/>
      <c r="AH30" s="16"/>
      <c r="AI30" s="16"/>
      <c r="AO30" s="7"/>
      <c r="AW30" s="8"/>
    </row>
    <row r="31" spans="2:49" x14ac:dyDescent="0.25">
      <c r="B31" s="10"/>
      <c r="Y31" s="202" t="str">
        <f>IF(V29="","Indique o fuso",IF(AND(Apoio!I4="Ok",OR(V29="",Conferencia!B15=1)),"",IF(AND(AC29&lt;&gt;"",V29&lt;&gt;"",Apoio!I4&lt;&gt;"Ok"),"Verifique a Abscissa","De "&amp;VLOOKUP(V29,Apoio!B1:F4,2,FALSE)&amp;" a "&amp;VLOOKUP(V29,Apoio!B1:F4,3,FALSE))))</f>
        <v>Indique o fuso</v>
      </c>
      <c r="Z31" s="202"/>
      <c r="AA31" s="202"/>
      <c r="AB31" s="202"/>
      <c r="AC31" s="202"/>
      <c r="AD31" s="202"/>
      <c r="AE31" s="202"/>
      <c r="AG31" s="202" t="str">
        <f>IF(V29="","Indique o fuso",IF(V29="","",IF(AND(Apoio!K4="Ok",OR(V29="",Conferencia!B15=1)),"",IF(AND(AL29&lt;&gt;"",V29&lt;&gt;"",Apoio!K4&lt;&gt;"Ok"),"Verifique a Ordenada","De "&amp;VLOOKUP($V$29,Apoio!B1:F4,4,FALSE)&amp;" a "&amp;VLOOKUP($V$29,Apoio!B1:F4,5,FALSE)))))</f>
        <v>Indique o fuso</v>
      </c>
      <c r="AH31" s="202"/>
      <c r="AI31" s="202"/>
      <c r="AJ31" s="202"/>
      <c r="AK31" s="202"/>
      <c r="AL31" s="202"/>
      <c r="AM31" s="202"/>
      <c r="AN31" s="202"/>
      <c r="AW31" s="8"/>
    </row>
    <row r="32" spans="2:49" ht="3" customHeight="1" thickBot="1" x14ac:dyDescent="0.3">
      <c r="B32" s="10"/>
      <c r="AW32" s="8"/>
    </row>
    <row r="33" spans="1:49" x14ac:dyDescent="0.25">
      <c r="B33" s="10" t="s">
        <v>393</v>
      </c>
      <c r="AD33" s="102" t="s">
        <v>222</v>
      </c>
      <c r="AE33" s="103"/>
      <c r="AG33" t="s">
        <v>394</v>
      </c>
      <c r="AR33" s="124"/>
      <c r="AS33" s="126"/>
      <c r="AW33" s="8"/>
    </row>
    <row r="34" spans="1:49" ht="3" customHeight="1" x14ac:dyDescent="0.25">
      <c r="B34" s="10"/>
      <c r="AW34" s="8"/>
    </row>
    <row r="35" spans="1:49" ht="3" customHeight="1" thickBot="1" x14ac:dyDescent="0.3">
      <c r="B35" s="13"/>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5"/>
    </row>
    <row r="36" spans="1:49" ht="15" customHeight="1" x14ac:dyDescent="0.25">
      <c r="B36" s="157" t="str">
        <f>IF(Grupo="A","Para clientes do Grupo A:","")</f>
        <v/>
      </c>
      <c r="C36" s="158"/>
      <c r="D36" s="158"/>
      <c r="E36" s="158"/>
      <c r="F36" s="159"/>
      <c r="G36" t="s">
        <v>22</v>
      </c>
      <c r="T36" s="171"/>
      <c r="U36" s="172"/>
      <c r="X36" s="179" t="s">
        <v>149</v>
      </c>
      <c r="Y36" s="180"/>
      <c r="Z36" s="181"/>
      <c r="AA36" s="183"/>
      <c r="AB36" s="44" t="s">
        <v>151</v>
      </c>
      <c r="AC36" s="179" t="s">
        <v>150</v>
      </c>
      <c r="AD36" s="179"/>
      <c r="AE36" s="179"/>
      <c r="AF36" s="181"/>
      <c r="AG36" s="182"/>
      <c r="AH36" s="183"/>
      <c r="AK36" s="179" t="s">
        <v>149</v>
      </c>
      <c r="AL36" s="180"/>
      <c r="AM36" s="181"/>
      <c r="AN36" s="183"/>
      <c r="AO36" s="44" t="s">
        <v>151</v>
      </c>
      <c r="AP36" s="179" t="s">
        <v>150</v>
      </c>
      <c r="AQ36" s="179"/>
      <c r="AR36" s="179"/>
      <c r="AS36" s="181"/>
      <c r="AT36" s="182"/>
      <c r="AU36" s="183"/>
      <c r="AW36" s="8"/>
    </row>
    <row r="37" spans="1:49" ht="3" customHeight="1" thickBot="1" x14ac:dyDescent="0.3">
      <c r="B37" s="157"/>
      <c r="C37" s="158"/>
      <c r="D37" s="158"/>
      <c r="E37" s="158"/>
      <c r="F37" s="159"/>
      <c r="AW37" s="8"/>
    </row>
    <row r="38" spans="1:49" x14ac:dyDescent="0.25">
      <c r="A38" s="8"/>
      <c r="B38" s="157"/>
      <c r="C38" s="158"/>
      <c r="D38" s="158"/>
      <c r="E38" s="158"/>
      <c r="F38" s="159"/>
      <c r="G38" t="str">
        <f>IF(OR(TipoSE="Nº 1",TipoSE="Nº 5",TipoSE="Nº 8"),"Transformador particular (kVA):","Qte de potência distinta dos trafos:")</f>
        <v>Qte de potência distinta dos trafos:</v>
      </c>
      <c r="S38" s="168"/>
      <c r="T38" s="169"/>
      <c r="U38" s="170"/>
      <c r="X38" s="179" t="s">
        <v>149</v>
      </c>
      <c r="Y38" s="180"/>
      <c r="Z38" s="181"/>
      <c r="AA38" s="183"/>
      <c r="AB38" s="44" t="s">
        <v>151</v>
      </c>
      <c r="AC38" s="179" t="s">
        <v>150</v>
      </c>
      <c r="AD38" s="179"/>
      <c r="AE38" s="179"/>
      <c r="AF38" s="181"/>
      <c r="AG38" s="182"/>
      <c r="AH38" s="183"/>
      <c r="AK38" s="179" t="s">
        <v>149</v>
      </c>
      <c r="AL38" s="180"/>
      <c r="AM38" s="181"/>
      <c r="AN38" s="183"/>
      <c r="AO38" s="44" t="s">
        <v>151</v>
      </c>
      <c r="AP38" s="179" t="s">
        <v>150</v>
      </c>
      <c r="AQ38" s="179"/>
      <c r="AR38" s="179"/>
      <c r="AS38" s="181"/>
      <c r="AT38" s="182"/>
      <c r="AU38" s="183"/>
      <c r="AW38" s="8"/>
    </row>
    <row r="39" spans="1:49" ht="3" customHeight="1" x14ac:dyDescent="0.25">
      <c r="B39" s="1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2"/>
    </row>
    <row r="40" spans="1:49" ht="3" customHeight="1" thickBot="1" x14ac:dyDescent="0.3">
      <c r="B40" s="10"/>
      <c r="AW40" s="8"/>
    </row>
    <row r="41" spans="1:49" x14ac:dyDescent="0.25">
      <c r="B41" s="10" t="s">
        <v>53</v>
      </c>
      <c r="I41" s="165"/>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6"/>
      <c r="AM41" s="166"/>
      <c r="AN41" s="167"/>
      <c r="AO41" s="127" t="str">
        <f>IF(I41="GD Existente COM Alteração de Potência Ativa Instalada Total","Pot. Atual (kW):","")</f>
        <v/>
      </c>
      <c r="AP41" s="127"/>
      <c r="AQ41" s="127"/>
      <c r="AR41" s="127"/>
      <c r="AS41" s="127"/>
      <c r="AT41" s="127"/>
      <c r="AU41" s="194"/>
      <c r="AV41" s="195"/>
      <c r="AW41" s="8"/>
    </row>
    <row r="42" spans="1:49" ht="3" customHeight="1" thickBot="1" x14ac:dyDescent="0.3">
      <c r="B42" s="10"/>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7"/>
      <c r="AP42" s="7"/>
      <c r="AQ42" s="7"/>
      <c r="AR42" s="7"/>
      <c r="AS42" s="7"/>
      <c r="AT42" s="7"/>
      <c r="AU42" s="5"/>
      <c r="AV42" s="5"/>
      <c r="AW42" s="8"/>
    </row>
    <row r="43" spans="1:49" x14ac:dyDescent="0.25">
      <c r="B43" s="10" t="s">
        <v>11</v>
      </c>
      <c r="I43" s="165"/>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7"/>
      <c r="AJ43" s="17"/>
      <c r="AK43" s="17"/>
      <c r="AL43" s="17"/>
      <c r="AM43" s="127" t="str">
        <f>IF(I41="GD Existente COM Alteração de Potência Ativa Instalada Total","Nova Pot. Total (kW):","")</f>
        <v/>
      </c>
      <c r="AN43" s="127"/>
      <c r="AO43" s="127"/>
      <c r="AP43" s="127"/>
      <c r="AQ43" s="127"/>
      <c r="AR43" s="127"/>
      <c r="AS43" s="127"/>
      <c r="AT43" s="127"/>
      <c r="AU43" s="194"/>
      <c r="AV43" s="195"/>
      <c r="AW43" s="8"/>
    </row>
    <row r="44" spans="1:49" ht="3" customHeight="1" x14ac:dyDescent="0.25">
      <c r="B44" s="10"/>
      <c r="I44" s="16"/>
      <c r="J44" s="16"/>
      <c r="K44" s="16"/>
      <c r="L44" s="16"/>
      <c r="M44" s="16"/>
      <c r="N44" s="16"/>
      <c r="O44" s="16"/>
      <c r="P44" s="16"/>
      <c r="Q44" s="16"/>
      <c r="R44" s="16"/>
      <c r="S44" s="16"/>
      <c r="T44" s="16"/>
      <c r="U44" s="17"/>
      <c r="V44" s="17"/>
      <c r="W44" s="17"/>
      <c r="X44" s="17"/>
      <c r="Y44" s="17"/>
      <c r="Z44" s="17"/>
      <c r="AA44" s="17"/>
      <c r="AB44" s="17"/>
      <c r="AC44" s="17"/>
      <c r="AD44" s="17"/>
      <c r="AE44" s="17"/>
      <c r="AF44" s="17"/>
      <c r="AG44" s="17"/>
      <c r="AH44" s="17"/>
      <c r="AI44" s="17"/>
      <c r="AJ44" s="17"/>
      <c r="AK44" s="17"/>
      <c r="AL44" s="17"/>
      <c r="AM44" s="7"/>
      <c r="AN44" s="7"/>
      <c r="AO44" s="7"/>
      <c r="AP44" s="7"/>
      <c r="AQ44" s="7"/>
      <c r="AR44" s="7"/>
      <c r="AS44" s="7"/>
      <c r="AT44" s="7"/>
      <c r="AU44" s="5"/>
      <c r="AV44" s="5"/>
      <c r="AW44" s="8"/>
    </row>
    <row r="45" spans="1:49" ht="3" customHeight="1" x14ac:dyDescent="0.25">
      <c r="B45" s="10"/>
      <c r="AW45" s="8"/>
    </row>
    <row r="46" spans="1:49" ht="3" customHeight="1" thickBot="1" x14ac:dyDescent="0.3">
      <c r="B46" s="10"/>
      <c r="AW46" s="8"/>
    </row>
    <row r="47" spans="1:49" x14ac:dyDescent="0.25">
      <c r="B47" s="189" t="s">
        <v>90</v>
      </c>
      <c r="C47" s="190"/>
      <c r="D47" s="190"/>
      <c r="E47" s="190"/>
      <c r="F47" s="190"/>
      <c r="G47" s="191"/>
      <c r="H47" s="192" t="str">
        <f>IF(Grupo="B"," Disjuntor Individual Atual:",IF(OR(TipoSE="Nº 1",TipoSE="Nº 5",TipoSE="Nº 8"),"Disjuntor de Baixa Tensão:"," Relé de Proteção Secundária"))</f>
        <v xml:space="preserve"> Disjuntor Individual Atual:</v>
      </c>
      <c r="I47" s="193"/>
      <c r="J47" s="193"/>
      <c r="K47" s="193"/>
      <c r="L47" s="193"/>
      <c r="M47" s="193"/>
      <c r="N47" s="193"/>
      <c r="O47" s="193"/>
      <c r="P47" s="193"/>
      <c r="Q47" s="193"/>
      <c r="R47" s="193"/>
      <c r="S47" s="193"/>
      <c r="T47" s="193"/>
      <c r="U47" s="28"/>
      <c r="V47" s="28"/>
      <c r="W47" s="28"/>
      <c r="X47" s="28"/>
      <c r="Y47" s="28"/>
      <c r="Z47" s="28"/>
      <c r="AB47" s="102"/>
      <c r="AC47" s="104"/>
      <c r="AD47" s="104"/>
      <c r="AE47" s="104"/>
      <c r="AF47" s="103"/>
      <c r="AH47" s="102"/>
      <c r="AI47" s="104"/>
      <c r="AJ47" s="103"/>
      <c r="AK47" s="17" t="s">
        <v>23</v>
      </c>
      <c r="AO47" s="208" t="s">
        <v>325</v>
      </c>
      <c r="AP47" s="209"/>
      <c r="AQ47" s="209"/>
      <c r="AR47" s="209"/>
      <c r="AS47" s="209"/>
      <c r="AT47" s="209"/>
      <c r="AU47" s="209"/>
      <c r="AV47" s="210"/>
      <c r="AW47" s="8"/>
    </row>
    <row r="48" spans="1:49" ht="4.5" customHeight="1" thickBot="1" x14ac:dyDescent="0.3">
      <c r="B48" s="189"/>
      <c r="C48" s="190"/>
      <c r="D48" s="190"/>
      <c r="E48" s="190"/>
      <c r="F48" s="190"/>
      <c r="G48" s="191"/>
      <c r="H48" s="28"/>
      <c r="I48" s="28"/>
      <c r="J48" s="28"/>
      <c r="K48" s="28"/>
      <c r="L48" s="28"/>
      <c r="M48" s="28"/>
      <c r="N48" s="28"/>
      <c r="O48" s="28"/>
      <c r="P48" s="28"/>
      <c r="Q48" s="28"/>
      <c r="R48" s="28"/>
      <c r="S48" s="28"/>
      <c r="T48" s="28"/>
      <c r="U48" s="28"/>
      <c r="V48" s="28"/>
      <c r="W48" s="28"/>
      <c r="X48" s="28"/>
      <c r="Y48" s="28"/>
      <c r="Z48" s="28"/>
      <c r="AO48" s="211"/>
      <c r="AP48" s="212"/>
      <c r="AQ48" s="212"/>
      <c r="AR48" s="212"/>
      <c r="AS48" s="212"/>
      <c r="AT48" s="212"/>
      <c r="AU48" s="212"/>
      <c r="AV48" s="213"/>
      <c r="AW48" s="8"/>
    </row>
    <row r="49" spans="1:49" x14ac:dyDescent="0.25">
      <c r="B49" s="189"/>
      <c r="C49" s="190"/>
      <c r="D49" s="190"/>
      <c r="E49" s="190"/>
      <c r="F49" s="190"/>
      <c r="G49" s="191"/>
      <c r="H49" s="192" t="str">
        <f>IF(Grupo="A","",IF(OR(MAX(Dados!D4:D7)=1,MAX(Dados!D4:D7)=3)," Disjuntor Individual Solicitado para Alteração de Carga:",""))</f>
        <v/>
      </c>
      <c r="I49" s="193"/>
      <c r="J49" s="193"/>
      <c r="K49" s="193"/>
      <c r="L49" s="193"/>
      <c r="M49" s="193"/>
      <c r="N49" s="193"/>
      <c r="O49" s="193"/>
      <c r="P49" s="193"/>
      <c r="Q49" s="193"/>
      <c r="R49" s="193"/>
      <c r="S49" s="193"/>
      <c r="T49" s="193"/>
      <c r="U49" s="193"/>
      <c r="V49" s="193"/>
      <c r="W49" s="193"/>
      <c r="X49" s="193"/>
      <c r="Y49" s="193"/>
      <c r="Z49" s="193"/>
      <c r="AB49" s="205"/>
      <c r="AC49" s="206"/>
      <c r="AD49" s="206"/>
      <c r="AE49" s="206"/>
      <c r="AF49" s="207"/>
      <c r="AH49" s="102"/>
      <c r="AI49" s="104"/>
      <c r="AJ49" s="103"/>
      <c r="AK49" s="17" t="str">
        <f>IF(H49="","","A")</f>
        <v/>
      </c>
      <c r="AO49" s="214"/>
      <c r="AP49" s="215"/>
      <c r="AQ49" s="215"/>
      <c r="AR49" s="215"/>
      <c r="AS49" s="215"/>
      <c r="AT49" s="215"/>
      <c r="AU49" s="215"/>
      <c r="AV49" s="216"/>
      <c r="AW49" s="8"/>
    </row>
    <row r="50" spans="1:49" ht="3" customHeight="1" thickBot="1" x14ac:dyDescent="0.3">
      <c r="B50" s="189"/>
      <c r="C50" s="190"/>
      <c r="D50" s="190"/>
      <c r="E50" s="190"/>
      <c r="F50" s="190"/>
      <c r="G50" s="191"/>
      <c r="H50" s="28"/>
      <c r="I50" s="28"/>
      <c r="J50" s="28"/>
      <c r="K50" s="28"/>
      <c r="L50" s="28"/>
      <c r="M50" s="28"/>
      <c r="N50" s="28"/>
      <c r="O50" s="28"/>
      <c r="P50" s="28"/>
      <c r="Q50" s="28"/>
      <c r="R50" s="28"/>
      <c r="S50" s="28"/>
      <c r="T50" s="28"/>
      <c r="U50" s="28"/>
      <c r="V50" s="28"/>
      <c r="W50" s="28"/>
      <c r="X50" s="28"/>
      <c r="Y50" s="28"/>
      <c r="Z50" s="28"/>
      <c r="AW50" s="8"/>
    </row>
    <row r="51" spans="1:49" ht="17.25" customHeight="1" x14ac:dyDescent="0.25">
      <c r="B51" s="189"/>
      <c r="C51" s="190"/>
      <c r="D51" s="190"/>
      <c r="E51" s="190"/>
      <c r="F51" s="190"/>
      <c r="G51" s="191"/>
      <c r="H51" s="192" t="str">
        <f>IF(Grupo="A","",IF(AND(OR(MAX(Dados!D4:D7)=1,MAX(Dados!D4:D7)=3,MAX(Dados!D4:D7)=2,MAX(Dados!D4:D7)=4),MAX(Dados!D13:D17)&gt;1)," Disjuntor Geral do Padrão (Conforme ND 5.2):",""))</f>
        <v/>
      </c>
      <c r="I51" s="193"/>
      <c r="J51" s="193"/>
      <c r="K51" s="193"/>
      <c r="L51" s="193"/>
      <c r="M51" s="193"/>
      <c r="N51" s="193"/>
      <c r="O51" s="193"/>
      <c r="P51" s="193"/>
      <c r="Q51" s="193"/>
      <c r="R51" s="193"/>
      <c r="S51" s="193"/>
      <c r="T51" s="193"/>
      <c r="U51" s="193"/>
      <c r="V51" s="193"/>
      <c r="W51" s="193"/>
      <c r="X51" s="193"/>
      <c r="Y51" s="193"/>
      <c r="Z51" s="193"/>
      <c r="AB51" s="222"/>
      <c r="AC51" s="223"/>
      <c r="AD51" s="223"/>
      <c r="AE51" s="223"/>
      <c r="AF51" s="224"/>
      <c r="AH51" s="222"/>
      <c r="AI51" s="223"/>
      <c r="AJ51" s="224"/>
      <c r="AK51" s="17" t="str">
        <f>IF(H51="","","A")</f>
        <v/>
      </c>
      <c r="AM51" s="17" t="s">
        <v>215</v>
      </c>
      <c r="AT51" s="136"/>
      <c r="AU51" s="137"/>
      <c r="AV51" s="138"/>
      <c r="AW51" s="84"/>
    </row>
    <row r="52" spans="1:49" ht="3" customHeight="1" x14ac:dyDescent="0.25">
      <c r="B52" s="10"/>
      <c r="AW52" s="8"/>
    </row>
    <row r="53" spans="1:49" ht="3" customHeight="1" x14ac:dyDescent="0.25">
      <c r="B53" s="10"/>
      <c r="AW53" s="8"/>
    </row>
    <row r="54" spans="1:49" ht="3" customHeight="1" thickBot="1" x14ac:dyDescent="0.3">
      <c r="B54" s="10"/>
      <c r="AW54" s="8"/>
    </row>
    <row r="55" spans="1:49" x14ac:dyDescent="0.25">
      <c r="B55" s="10" t="s">
        <v>12</v>
      </c>
      <c r="L55" s="124"/>
      <c r="M55" s="125"/>
      <c r="N55" s="125"/>
      <c r="O55" s="125"/>
      <c r="AW55" s="8"/>
    </row>
    <row r="56" spans="1:49" ht="3" customHeight="1" thickBot="1" x14ac:dyDescent="0.3">
      <c r="B56" s="10"/>
      <c r="X56" s="16"/>
      <c r="Y56" s="16"/>
      <c r="Z56" s="16"/>
      <c r="AA56" s="16"/>
      <c r="AB56" s="16"/>
      <c r="AW56" s="8"/>
    </row>
    <row r="57" spans="1:49" x14ac:dyDescent="0.25">
      <c r="A57" s="8"/>
      <c r="B57" s="29" t="str">
        <f>IF(MAX(Dados!D4:D7)&lt;4,"Haverá Mudança de Local do Padrão de Entrada:","")</f>
        <v>Haverá Mudança de Local do Padrão de Entrada:</v>
      </c>
      <c r="C57" s="28"/>
      <c r="D57" s="28"/>
      <c r="E57" s="28"/>
      <c r="F57" s="28"/>
      <c r="G57" s="28"/>
      <c r="H57" s="28"/>
      <c r="I57" s="28"/>
      <c r="J57" s="28"/>
      <c r="K57" s="28"/>
      <c r="L57" s="28"/>
      <c r="M57" s="28"/>
      <c r="N57" s="28"/>
      <c r="O57" s="28"/>
      <c r="P57" s="28"/>
      <c r="R57" s="102"/>
      <c r="S57" s="103"/>
      <c r="U57" s="217" t="str">
        <f>IF(AND(TipoSE="Nº 1",R57="Sim"),"&lt;-- Para SE Nº 1 não pode haver mudança de local do Padrão de Entrada. Altere","")</f>
        <v/>
      </c>
      <c r="V57" s="217"/>
      <c r="W57" s="217"/>
      <c r="X57" s="217"/>
      <c r="Y57" s="217"/>
      <c r="Z57" s="217"/>
      <c r="AA57" s="217"/>
      <c r="AB57" s="217"/>
      <c r="AC57" s="217"/>
      <c r="AD57" s="217"/>
      <c r="AE57" s="217"/>
      <c r="AF57" s="217"/>
      <c r="AG57" s="217"/>
      <c r="AH57" s="217"/>
      <c r="AI57" s="217"/>
      <c r="AJ57" s="217"/>
      <c r="AK57" s="217"/>
      <c r="AL57" s="217"/>
      <c r="AM57" s="217"/>
      <c r="AN57" s="217"/>
      <c r="AO57" s="217"/>
      <c r="AP57" s="217"/>
      <c r="AQ57" s="217"/>
      <c r="AR57" s="217"/>
      <c r="AS57" s="217"/>
      <c r="AT57" s="217"/>
      <c r="AU57" s="217"/>
      <c r="AV57" s="218"/>
      <c r="AW57" s="8"/>
    </row>
    <row r="58" spans="1:49" ht="3" customHeight="1" thickBot="1" x14ac:dyDescent="0.3">
      <c r="B58" s="29"/>
      <c r="C58" s="28"/>
      <c r="D58" s="28"/>
      <c r="E58" s="28"/>
      <c r="F58" s="28"/>
      <c r="G58" s="28"/>
      <c r="H58" s="28"/>
      <c r="I58" s="28"/>
      <c r="J58" s="28"/>
      <c r="K58" s="28"/>
      <c r="L58" s="28"/>
      <c r="M58" s="28"/>
      <c r="AW58" s="8"/>
    </row>
    <row r="59" spans="1:49" ht="15" customHeight="1" x14ac:dyDescent="0.25">
      <c r="B59" s="29" t="s">
        <v>328</v>
      </c>
      <c r="C59" s="28"/>
      <c r="D59" s="28"/>
      <c r="E59" s="28"/>
      <c r="F59" s="28"/>
      <c r="G59" s="28"/>
      <c r="H59" s="28"/>
      <c r="I59" s="28"/>
      <c r="J59" s="28"/>
      <c r="K59" s="28"/>
      <c r="L59" s="28"/>
      <c r="M59" s="28"/>
      <c r="AD59" s="102"/>
      <c r="AE59" s="103"/>
      <c r="AW59" s="8"/>
    </row>
    <row r="60" spans="1:49" ht="3" customHeight="1" thickBot="1" x14ac:dyDescent="0.3">
      <c r="B60" s="29"/>
      <c r="C60" s="28"/>
      <c r="D60" s="28"/>
      <c r="E60" s="28"/>
      <c r="F60" s="28"/>
      <c r="G60" s="28"/>
      <c r="H60" s="28"/>
      <c r="I60" s="28"/>
      <c r="J60" s="28"/>
      <c r="K60" s="28"/>
      <c r="L60" s="28"/>
      <c r="M60" s="28"/>
      <c r="AW60" s="8"/>
    </row>
    <row r="61" spans="1:49" ht="21.75" customHeight="1" x14ac:dyDescent="0.25">
      <c r="B61" s="29" t="s">
        <v>326</v>
      </c>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F61" s="102" t="s">
        <v>222</v>
      </c>
      <c r="AG61" s="103"/>
      <c r="AI61" s="212" t="str">
        <f>IF(AF61="Sim","Será considerado uma nova UC. Anexar documento que comprove o aluguel/arrendamento","")</f>
        <v/>
      </c>
      <c r="AJ61" s="212"/>
      <c r="AK61" s="212"/>
      <c r="AL61" s="212"/>
      <c r="AM61" s="212"/>
      <c r="AN61" s="212"/>
      <c r="AO61" s="212"/>
      <c r="AP61" s="212"/>
      <c r="AQ61" s="212"/>
      <c r="AR61" s="212"/>
      <c r="AS61" s="212"/>
      <c r="AT61" s="212"/>
      <c r="AU61" s="212"/>
      <c r="AV61" s="212"/>
      <c r="AW61" s="8"/>
    </row>
    <row r="62" spans="1:49" ht="3" customHeight="1" thickBot="1" x14ac:dyDescent="0.3">
      <c r="B62" s="29"/>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F62" s="93"/>
      <c r="AG62" s="93"/>
      <c r="AI62" s="92"/>
      <c r="AJ62" s="92"/>
      <c r="AK62" s="92"/>
      <c r="AL62" s="92"/>
      <c r="AM62" s="92"/>
      <c r="AN62" s="92"/>
      <c r="AO62" s="92"/>
      <c r="AP62" s="92"/>
      <c r="AQ62" s="92"/>
      <c r="AR62" s="92"/>
      <c r="AS62" s="92"/>
      <c r="AT62" s="92"/>
      <c r="AU62" s="92"/>
      <c r="AV62" s="92"/>
      <c r="AW62" s="8"/>
    </row>
    <row r="63" spans="1:49" ht="21.75" customHeight="1" x14ac:dyDescent="0.25">
      <c r="B63" s="10"/>
      <c r="C63" s="28" t="s">
        <v>361</v>
      </c>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F63" s="93"/>
      <c r="AG63" s="93"/>
      <c r="AI63" s="102" t="s">
        <v>222</v>
      </c>
      <c r="AJ63" s="103"/>
      <c r="AK63" s="225" t="str">
        <f>IF(AI63=Dados!V6,"É necessário representar as 2 instalações (existente + telhado) no DUB e memorial descritivo","")</f>
        <v>É necessário representar as 2 instalações (existente + telhado) no DUB e memorial descritivo</v>
      </c>
      <c r="AL63" s="225"/>
      <c r="AM63" s="225"/>
      <c r="AN63" s="225"/>
      <c r="AO63" s="225"/>
      <c r="AP63" s="225"/>
      <c r="AQ63" s="225"/>
      <c r="AR63" s="225"/>
      <c r="AS63" s="225"/>
      <c r="AT63" s="225"/>
      <c r="AU63" s="225"/>
      <c r="AV63" s="225"/>
      <c r="AW63" s="8"/>
    </row>
    <row r="64" spans="1:49" ht="3" customHeight="1" thickBot="1" x14ac:dyDescent="0.3">
      <c r="B64" s="29"/>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F64" s="93"/>
      <c r="AG64" s="93"/>
      <c r="AI64" s="92"/>
      <c r="AJ64" s="92"/>
      <c r="AK64" s="92"/>
      <c r="AL64" s="92"/>
      <c r="AM64" s="92"/>
      <c r="AN64" s="92"/>
      <c r="AO64" s="92"/>
      <c r="AP64" s="92"/>
      <c r="AQ64" s="92"/>
      <c r="AR64" s="92"/>
      <c r="AS64" s="92"/>
      <c r="AT64" s="92"/>
      <c r="AU64" s="92"/>
      <c r="AV64" s="92"/>
      <c r="AW64" s="8"/>
    </row>
    <row r="65" spans="2:49" ht="15" customHeight="1" x14ac:dyDescent="0.25">
      <c r="B65" s="10"/>
      <c r="C65" t="s">
        <v>364</v>
      </c>
      <c r="Q65" s="102"/>
      <c r="R65" s="104"/>
      <c r="S65" s="104"/>
      <c r="T65" s="104"/>
      <c r="U65" s="104"/>
      <c r="V65" s="103"/>
      <c r="X65" t="s">
        <v>365</v>
      </c>
      <c r="Y65" s="28"/>
      <c r="Z65" s="28"/>
      <c r="AA65" s="28"/>
      <c r="AB65" s="28"/>
      <c r="AC65" s="28"/>
      <c r="AD65" s="28"/>
      <c r="AG65" s="93"/>
      <c r="AH65" s="93"/>
      <c r="AJ65" s="92"/>
      <c r="AK65" s="92"/>
      <c r="AL65" s="92"/>
      <c r="AM65" s="92"/>
      <c r="AN65" s="232"/>
      <c r="AO65" s="233"/>
      <c r="AP65" s="233"/>
      <c r="AQ65" s="233"/>
      <c r="AR65" s="233"/>
      <c r="AS65" s="233"/>
      <c r="AT65" s="92"/>
      <c r="AU65" s="92"/>
      <c r="AV65" s="92"/>
      <c r="AW65" s="8"/>
    </row>
    <row r="66" spans="2:49" ht="3" customHeight="1" thickBot="1" x14ac:dyDescent="0.3">
      <c r="B66" s="29"/>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F66" s="93"/>
      <c r="AG66" s="93"/>
      <c r="AI66" s="92"/>
      <c r="AJ66" s="92"/>
      <c r="AK66" s="92"/>
      <c r="AL66" s="92"/>
      <c r="AM66" s="92"/>
      <c r="AN66" s="92"/>
      <c r="AO66" s="92"/>
      <c r="AP66" s="92"/>
      <c r="AQ66" s="92"/>
      <c r="AR66" s="92"/>
      <c r="AS66" s="92"/>
      <c r="AT66" s="92"/>
      <c r="AU66" s="92"/>
      <c r="AV66" s="92"/>
      <c r="AW66" s="8"/>
    </row>
    <row r="67" spans="2:49" ht="21.75" customHeight="1" x14ac:dyDescent="0.25">
      <c r="B67" s="226" t="str">
        <f>IF(Grupo="A","Para clientes do Grupo A:","")</f>
        <v/>
      </c>
      <c r="C67" s="227"/>
      <c r="D67" s="227"/>
      <c r="E67" s="227"/>
      <c r="F67" s="228"/>
      <c r="G67" t="s">
        <v>366</v>
      </c>
      <c r="H67" s="28"/>
      <c r="I67" s="28"/>
      <c r="J67" s="28"/>
      <c r="K67" s="28"/>
      <c r="L67" s="28"/>
      <c r="M67" s="28"/>
      <c r="N67" s="28"/>
      <c r="O67" s="28"/>
      <c r="P67" s="28"/>
      <c r="Q67" s="28"/>
      <c r="S67" s="229"/>
      <c r="T67" s="230"/>
      <c r="U67" s="230"/>
      <c r="V67" s="231"/>
      <c r="W67" t="s">
        <v>367</v>
      </c>
      <c r="Z67" t="s">
        <v>368</v>
      </c>
      <c r="AB67" s="93"/>
      <c r="AC67" s="93"/>
      <c r="AE67" s="92"/>
      <c r="AF67" s="92"/>
      <c r="AG67" s="92"/>
      <c r="AH67" s="92"/>
      <c r="AI67" s="92"/>
      <c r="AJ67" s="92"/>
      <c r="AK67" s="229"/>
      <c r="AL67" s="230"/>
      <c r="AM67" s="230"/>
      <c r="AN67" s="231"/>
      <c r="AO67" t="s">
        <v>367</v>
      </c>
      <c r="AP67" s="92"/>
      <c r="AU67" s="92"/>
      <c r="AV67" s="92"/>
      <c r="AW67" s="8"/>
    </row>
    <row r="68" spans="2:49" ht="21.75" customHeight="1" x14ac:dyDescent="0.25">
      <c r="B68" s="226"/>
      <c r="C68" s="227"/>
      <c r="D68" s="227"/>
      <c r="E68" s="227"/>
      <c r="F68" s="228"/>
      <c r="G68" s="94" t="s">
        <v>369</v>
      </c>
      <c r="H68" s="28"/>
      <c r="I68" s="28"/>
      <c r="J68" s="28"/>
      <c r="K68" s="28"/>
      <c r="L68" s="28"/>
      <c r="M68" s="28"/>
      <c r="N68" s="28"/>
      <c r="O68" s="28"/>
      <c r="P68" s="28"/>
      <c r="Q68" s="28"/>
      <c r="R68" s="28"/>
      <c r="S68" s="28"/>
      <c r="T68" s="28"/>
      <c r="U68" s="28"/>
      <c r="V68" s="28"/>
      <c r="W68" s="28"/>
      <c r="X68" s="28"/>
      <c r="Y68" s="28"/>
      <c r="AB68" s="93"/>
      <c r="AC68" s="93"/>
      <c r="AE68" s="92"/>
      <c r="AF68" s="92"/>
      <c r="AG68" s="92"/>
      <c r="AH68" s="92"/>
      <c r="AI68" s="92"/>
      <c r="AJ68" s="92"/>
      <c r="AK68" s="92"/>
      <c r="AL68" s="92"/>
      <c r="AM68" s="92"/>
      <c r="AN68" s="92"/>
      <c r="AO68" s="92"/>
      <c r="AP68" s="92"/>
      <c r="AU68" s="92"/>
      <c r="AV68" s="92"/>
      <c r="AW68" s="8"/>
    </row>
    <row r="69" spans="2:49" ht="3" customHeight="1" x14ac:dyDescent="0.25">
      <c r="B69" s="29"/>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F69" s="93"/>
      <c r="AG69" s="93"/>
      <c r="AI69" s="92"/>
      <c r="AJ69" s="92"/>
      <c r="AK69" s="92"/>
      <c r="AL69" s="92"/>
      <c r="AM69" s="92"/>
      <c r="AN69" s="92"/>
      <c r="AO69" s="92"/>
      <c r="AP69" s="92"/>
      <c r="AQ69" s="92"/>
      <c r="AR69" s="92"/>
      <c r="AS69" s="92"/>
      <c r="AT69" s="92"/>
      <c r="AU69" s="92"/>
      <c r="AV69" s="92"/>
      <c r="AW69" s="8"/>
    </row>
    <row r="70" spans="2:49" ht="3" customHeight="1" x14ac:dyDescent="0.25">
      <c r="B70" s="10"/>
      <c r="AW70" s="8"/>
    </row>
    <row r="71" spans="2:49" ht="3" customHeight="1" x14ac:dyDescent="0.2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row>
    <row r="72" spans="2:49" ht="15" customHeight="1" x14ac:dyDescent="0.25">
      <c r="B72" s="152" t="s">
        <v>274</v>
      </c>
      <c r="C72" s="153"/>
      <c r="D72" s="153"/>
      <c r="E72" s="153"/>
      <c r="F72" s="153"/>
      <c r="G72" s="153"/>
      <c r="H72" s="153"/>
      <c r="I72" s="153"/>
      <c r="J72" s="153"/>
      <c r="K72" s="153"/>
      <c r="L72" s="153"/>
      <c r="M72" s="153"/>
      <c r="N72" s="153"/>
      <c r="O72" s="153"/>
      <c r="P72" s="153"/>
      <c r="Q72" s="153"/>
      <c r="R72" s="153"/>
      <c r="S72" s="153"/>
      <c r="T72" s="153"/>
      <c r="U72" s="153"/>
      <c r="V72" s="153"/>
      <c r="W72" s="153"/>
      <c r="X72" s="153"/>
      <c r="Y72" s="153"/>
      <c r="Z72" s="153"/>
      <c r="AA72" s="153"/>
      <c r="AB72" s="153"/>
      <c r="AC72" s="153"/>
      <c r="AD72" s="153"/>
      <c r="AE72" s="153"/>
      <c r="AF72" s="153"/>
      <c r="AG72" s="153"/>
      <c r="AH72" s="153"/>
      <c r="AI72" s="153"/>
      <c r="AJ72" s="153"/>
      <c r="AK72" s="153"/>
      <c r="AL72" s="153"/>
      <c r="AM72" s="153"/>
      <c r="AN72" s="153"/>
      <c r="AO72" s="153"/>
      <c r="AP72" s="153"/>
      <c r="AQ72" s="153"/>
      <c r="AR72" s="153"/>
      <c r="AS72" s="153"/>
      <c r="AT72" s="153"/>
      <c r="AU72" s="153"/>
      <c r="AV72" s="153"/>
      <c r="AW72" s="154"/>
    </row>
    <row r="73" spans="2:49" ht="3" customHeight="1" x14ac:dyDescent="0.25">
      <c r="B73" s="13"/>
      <c r="C73" s="14"/>
      <c r="D73" s="14"/>
      <c r="E73" s="76"/>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5"/>
    </row>
    <row r="74" spans="2:49" ht="15" customHeight="1" x14ac:dyDescent="0.25">
      <c r="B74" s="115" t="s">
        <v>276</v>
      </c>
      <c r="C74" s="105"/>
      <c r="D74" s="105"/>
      <c r="E74" s="105"/>
      <c r="F74" s="105"/>
      <c r="G74" s="105"/>
      <c r="H74" s="105"/>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47"/>
      <c r="AW74" s="48"/>
    </row>
    <row r="75" spans="2:49" ht="3" customHeight="1" x14ac:dyDescent="0.25">
      <c r="B75" s="46"/>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8"/>
    </row>
    <row r="76" spans="2:49" ht="30" customHeight="1" x14ac:dyDescent="0.25">
      <c r="B76" s="115" t="s">
        <v>277</v>
      </c>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48"/>
    </row>
    <row r="77" spans="2:49" ht="3" customHeight="1" x14ac:dyDescent="0.25">
      <c r="B77" s="46"/>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8"/>
    </row>
    <row r="78" spans="2:49" ht="15" customHeight="1" x14ac:dyDescent="0.25">
      <c r="B78" s="46" t="s">
        <v>278</v>
      </c>
      <c r="C78" s="50"/>
      <c r="D78" s="50"/>
      <c r="E78" s="50"/>
      <c r="F78" s="50"/>
      <c r="G78" s="50"/>
      <c r="H78" s="50"/>
      <c r="I78" s="50"/>
      <c r="J78" s="50"/>
      <c r="K78" s="50"/>
      <c r="L78" s="50"/>
      <c r="M78" s="50"/>
      <c r="N78" s="50"/>
      <c r="O78" s="50"/>
      <c r="P78" s="50"/>
      <c r="Q78" s="50"/>
      <c r="R78" s="50"/>
      <c r="S78" s="50"/>
      <c r="T78" s="50"/>
      <c r="U78" s="50"/>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48"/>
    </row>
    <row r="79" spans="2:49" ht="3" customHeight="1" x14ac:dyDescent="0.25">
      <c r="B79" s="46"/>
      <c r="C79" s="50"/>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50"/>
      <c r="AH79" s="50"/>
      <c r="AI79" s="50"/>
      <c r="AJ79" s="50"/>
      <c r="AK79" s="50"/>
      <c r="AL79" s="50"/>
      <c r="AM79" s="50"/>
      <c r="AN79" s="50"/>
      <c r="AO79" s="50"/>
      <c r="AP79" s="50"/>
      <c r="AQ79" s="50"/>
      <c r="AR79" s="50"/>
      <c r="AS79" s="50"/>
      <c r="AT79" s="50"/>
      <c r="AU79" s="50"/>
      <c r="AV79" s="50"/>
      <c r="AW79" s="48"/>
    </row>
    <row r="80" spans="2:49" ht="15" customHeight="1" x14ac:dyDescent="0.25">
      <c r="B80" s="46" t="s">
        <v>279</v>
      </c>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8"/>
    </row>
    <row r="81" spans="2:49" ht="3" customHeight="1" x14ac:dyDescent="0.25">
      <c r="B81" s="10"/>
      <c r="AW81" s="8"/>
    </row>
    <row r="82" spans="2:49" ht="48" customHeight="1" x14ac:dyDescent="0.25">
      <c r="B82" s="156" t="s">
        <v>280</v>
      </c>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8"/>
    </row>
    <row r="83" spans="2:49" ht="3" customHeight="1" x14ac:dyDescent="0.25">
      <c r="B83" s="78"/>
      <c r="C83" s="53"/>
      <c r="D83" s="53"/>
      <c r="E83" s="53"/>
      <c r="F83" s="53"/>
      <c r="G83" s="53"/>
      <c r="H83" s="53"/>
      <c r="I83" s="53"/>
      <c r="J83" s="53"/>
      <c r="K83" s="53"/>
      <c r="L83" s="53"/>
      <c r="M83" s="53"/>
      <c r="N83" s="53"/>
      <c r="O83" s="53"/>
      <c r="P83" s="53"/>
      <c r="Q83" s="53"/>
      <c r="R83" s="53"/>
      <c r="S83" s="53"/>
      <c r="T83" s="53"/>
      <c r="U83" s="53"/>
      <c r="V83" s="53"/>
      <c r="W83" s="53"/>
      <c r="X83" s="53"/>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8"/>
    </row>
    <row r="84" spans="2:49" ht="47.85" customHeight="1" x14ac:dyDescent="0.25">
      <c r="B84" s="156" t="s">
        <v>398</v>
      </c>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8"/>
    </row>
    <row r="85" spans="2:49" ht="3" customHeight="1" x14ac:dyDescent="0.25">
      <c r="B85" s="77"/>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c r="AK85" s="54"/>
      <c r="AL85" s="54"/>
      <c r="AM85" s="54"/>
      <c r="AN85" s="54"/>
      <c r="AO85" s="54"/>
      <c r="AP85" s="54"/>
      <c r="AQ85" s="54"/>
      <c r="AR85" s="54"/>
      <c r="AS85" s="54"/>
      <c r="AT85" s="54"/>
      <c r="AU85" s="54"/>
      <c r="AV85" s="54"/>
      <c r="AW85" s="8"/>
    </row>
    <row r="86" spans="2:49" ht="30.75" customHeight="1" x14ac:dyDescent="0.25">
      <c r="B86" s="156" t="s">
        <v>300</v>
      </c>
      <c r="C86" s="135"/>
      <c r="D86" s="135"/>
      <c r="E86" s="135"/>
      <c r="F86" s="135"/>
      <c r="G86" s="135"/>
      <c r="H86" s="135"/>
      <c r="I86" s="135"/>
      <c r="J86" s="135"/>
      <c r="K86" s="135"/>
      <c r="L86" s="135"/>
      <c r="M86" s="135"/>
      <c r="N86" s="135"/>
      <c r="O86" s="135"/>
      <c r="P86" s="135"/>
      <c r="Q86" s="135"/>
      <c r="R86" s="135"/>
      <c r="S86" s="135"/>
      <c r="T86" s="135"/>
      <c r="U86" s="135"/>
      <c r="V86" s="135"/>
      <c r="W86" s="135"/>
      <c r="X86" s="135"/>
      <c r="Y86" s="135"/>
      <c r="Z86" s="135"/>
      <c r="AA86" s="135"/>
      <c r="AB86" s="135"/>
      <c r="AC86" s="135"/>
      <c r="AD86" s="135"/>
      <c r="AE86" s="135"/>
      <c r="AF86" s="135"/>
      <c r="AG86" s="135"/>
      <c r="AH86" s="135"/>
      <c r="AI86" s="135"/>
      <c r="AJ86" s="135"/>
      <c r="AK86" s="135"/>
      <c r="AL86" s="135"/>
      <c r="AM86" s="135"/>
      <c r="AN86" s="135"/>
      <c r="AO86" s="135"/>
      <c r="AP86" s="135"/>
      <c r="AQ86" s="135"/>
      <c r="AR86" s="135"/>
      <c r="AS86" s="135"/>
      <c r="AT86" s="135"/>
      <c r="AU86" s="135"/>
      <c r="AV86" s="135"/>
      <c r="AW86" s="8"/>
    </row>
    <row r="87" spans="2:49" ht="3" customHeight="1" x14ac:dyDescent="0.25">
      <c r="B87" s="77"/>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8"/>
    </row>
    <row r="88" spans="2:49" ht="30.75" customHeight="1" x14ac:dyDescent="0.25">
      <c r="B88" s="156" t="s">
        <v>301</v>
      </c>
      <c r="C88" s="135"/>
      <c r="D88" s="135"/>
      <c r="E88" s="135"/>
      <c r="F88" s="135"/>
      <c r="G88" s="135"/>
      <c r="H88" s="135"/>
      <c r="I88" s="135"/>
      <c r="J88" s="135"/>
      <c r="K88" s="135"/>
      <c r="L88" s="135"/>
      <c r="M88" s="135"/>
      <c r="N88" s="135"/>
      <c r="O88" s="135"/>
      <c r="P88" s="135"/>
      <c r="Q88" s="135"/>
      <c r="R88" s="135"/>
      <c r="S88" s="135"/>
      <c r="T88" s="135"/>
      <c r="U88" s="135"/>
      <c r="V88" s="135"/>
      <c r="W88" s="135"/>
      <c r="X88" s="135"/>
      <c r="Y88" s="135"/>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8"/>
    </row>
    <row r="89" spans="2:49" ht="3" customHeight="1" x14ac:dyDescent="0.25">
      <c r="B89" s="77"/>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8"/>
    </row>
    <row r="90" spans="2:49" ht="30.75" customHeight="1" x14ac:dyDescent="0.25">
      <c r="B90" s="156" t="s">
        <v>302</v>
      </c>
      <c r="C90" s="135"/>
      <c r="D90" s="135"/>
      <c r="E90" s="135"/>
      <c r="F90" s="135"/>
      <c r="G90" s="135"/>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8"/>
    </row>
    <row r="91" spans="2:49" ht="3" customHeight="1" x14ac:dyDescent="0.25">
      <c r="B91" s="79"/>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0"/>
      <c r="AH91" s="80"/>
      <c r="AI91" s="80"/>
      <c r="AJ91" s="80"/>
      <c r="AK91" s="80"/>
      <c r="AL91" s="80"/>
      <c r="AM91" s="80"/>
      <c r="AN91" s="80"/>
      <c r="AO91" s="80"/>
      <c r="AP91" s="80"/>
      <c r="AQ91" s="80"/>
      <c r="AR91" s="80"/>
      <c r="AS91" s="80"/>
      <c r="AT91" s="80"/>
      <c r="AU91" s="80"/>
      <c r="AV91" s="80"/>
      <c r="AW91" s="12"/>
    </row>
    <row r="92" spans="2:49" ht="3" customHeight="1" x14ac:dyDescent="0.25">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row>
    <row r="93" spans="2:49" x14ac:dyDescent="0.25">
      <c r="B93" s="184" t="s">
        <v>292</v>
      </c>
      <c r="C93" s="185"/>
      <c r="D93" s="185"/>
      <c r="E93" s="185"/>
      <c r="F93" s="185"/>
      <c r="G93" s="185"/>
      <c r="H93" s="185"/>
      <c r="I93" s="185"/>
      <c r="J93" s="185"/>
      <c r="K93" s="185"/>
      <c r="L93" s="185"/>
      <c r="M93" s="185"/>
      <c r="N93" s="185"/>
      <c r="O93" s="185"/>
      <c r="P93" s="185"/>
      <c r="Q93" s="185"/>
      <c r="R93" s="185"/>
      <c r="S93" s="185"/>
      <c r="T93" s="185"/>
      <c r="U93" s="185"/>
      <c r="V93" s="185"/>
      <c r="W93" s="185"/>
      <c r="X93" s="185"/>
      <c r="Y93" s="185"/>
      <c r="Z93" s="185"/>
      <c r="AA93" s="185"/>
      <c r="AB93" s="185"/>
      <c r="AC93" s="185"/>
      <c r="AD93" s="185"/>
      <c r="AE93" s="185"/>
      <c r="AF93" s="185"/>
      <c r="AG93" s="185"/>
      <c r="AH93" s="185"/>
      <c r="AI93" s="185"/>
      <c r="AJ93" s="185"/>
      <c r="AK93" s="185"/>
      <c r="AL93" s="185"/>
      <c r="AM93" s="185"/>
      <c r="AN93" s="185"/>
      <c r="AO93" s="185"/>
      <c r="AP93" s="185"/>
      <c r="AQ93" s="185"/>
      <c r="AR93" s="185"/>
      <c r="AS93" s="185"/>
      <c r="AT93" s="185"/>
      <c r="AU93" s="185"/>
      <c r="AV93" s="185"/>
      <c r="AW93" s="34"/>
    </row>
    <row r="94" spans="2:49" ht="3" customHeight="1" thickBot="1" x14ac:dyDescent="0.3">
      <c r="B94" s="13"/>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5"/>
    </row>
    <row r="95" spans="2:49" ht="15.75" thickBot="1" x14ac:dyDescent="0.3">
      <c r="B95" s="10" t="s">
        <v>281</v>
      </c>
      <c r="L95" s="219" t="s">
        <v>382</v>
      </c>
      <c r="M95" s="220"/>
      <c r="N95" s="220"/>
      <c r="O95" s="220"/>
      <c r="P95" s="220"/>
      <c r="Q95" s="220"/>
      <c r="R95" s="220"/>
      <c r="S95" s="221"/>
      <c r="T95" s="253"/>
      <c r="U95" s="253"/>
      <c r="V95" s="253"/>
      <c r="W95" s="253"/>
      <c r="X95" s="253"/>
      <c r="Y95" s="253"/>
      <c r="Z95" s="254"/>
      <c r="AA95" t="s">
        <v>35</v>
      </c>
      <c r="AT95" s="251">
        <f>IF(TipoFonte="Solar",MIN(L116,AI116),AI108)</f>
        <v>0</v>
      </c>
      <c r="AU95" s="252"/>
      <c r="AV95" s="252"/>
      <c r="AW95" s="8"/>
    </row>
    <row r="96" spans="2:49" ht="12" customHeight="1" x14ac:dyDescent="0.25">
      <c r="B96" s="98" t="str">
        <f>IF(AL12=Dados!V5,"Atenção: No inciso III do art. 73-A, a potência deve ser menor ou igual a 7,5kW e a modalidade autoconsumo local. Apenas a unidade geradora pode utilizar os créditos.","")</f>
        <v/>
      </c>
      <c r="J96" s="95"/>
      <c r="O96" s="95"/>
      <c r="R96" s="95"/>
      <c r="V96" s="95"/>
      <c r="AA96" s="95"/>
      <c r="AW96" s="8"/>
    </row>
    <row r="97" spans="2:49" ht="3" customHeight="1" thickBot="1" x14ac:dyDescent="0.3">
      <c r="B97" s="10"/>
      <c r="AW97" s="8"/>
    </row>
    <row r="98" spans="2:49" x14ac:dyDescent="0.25">
      <c r="B98" s="10" t="s">
        <v>287</v>
      </c>
      <c r="H98" s="129" t="s">
        <v>284</v>
      </c>
      <c r="I98" s="130"/>
      <c r="J98" s="130"/>
      <c r="K98" s="130"/>
      <c r="L98" s="130"/>
      <c r="M98" s="130"/>
      <c r="N98" s="130"/>
      <c r="O98" s="130"/>
      <c r="P98" s="130"/>
      <c r="Q98" s="130"/>
      <c r="R98" s="130"/>
      <c r="S98" s="130"/>
      <c r="T98" s="130"/>
      <c r="U98" s="130"/>
      <c r="V98" s="130"/>
      <c r="W98" s="130"/>
      <c r="X98" s="130"/>
      <c r="Y98" s="130"/>
      <c r="Z98" s="131"/>
      <c r="AB98" s="129"/>
      <c r="AC98" s="130"/>
      <c r="AD98" s="130"/>
      <c r="AE98" s="130"/>
      <c r="AF98" s="130"/>
      <c r="AG98" s="130"/>
      <c r="AH98" s="130"/>
      <c r="AI98" s="130"/>
      <c r="AJ98" s="130"/>
      <c r="AK98" s="130"/>
      <c r="AL98" s="130"/>
      <c r="AM98" s="130"/>
      <c r="AN98" s="130"/>
      <c r="AO98" s="130"/>
      <c r="AP98" s="130"/>
      <c r="AQ98" s="130"/>
      <c r="AR98" s="130"/>
      <c r="AS98" s="130"/>
      <c r="AT98" s="131"/>
      <c r="AW98" s="8"/>
    </row>
    <row r="99" spans="2:49" ht="3" customHeight="1" thickBot="1" x14ac:dyDescent="0.3">
      <c r="B99" s="10"/>
      <c r="AW99" s="8"/>
    </row>
    <row r="100" spans="2:49" x14ac:dyDescent="0.25">
      <c r="B100" s="10" t="str">
        <f>IF(AL12=Dados!V5,"","Modalidade de compensação")</f>
        <v>Modalidade de compensação</v>
      </c>
      <c r="L100" s="129"/>
      <c r="M100" s="130"/>
      <c r="N100" s="130"/>
      <c r="O100" s="130"/>
      <c r="P100" s="130"/>
      <c r="Q100" s="130"/>
      <c r="R100" s="130"/>
      <c r="S100" s="130"/>
      <c r="T100" s="130"/>
      <c r="U100" s="130"/>
      <c r="V100" s="130"/>
      <c r="W100" s="130"/>
      <c r="X100" s="130"/>
      <c r="Y100" s="130"/>
      <c r="Z100" s="130"/>
      <c r="AA100" s="130"/>
      <c r="AB100" s="130"/>
      <c r="AC100" s="130"/>
      <c r="AD100" s="131"/>
      <c r="AE100" s="173" t="s">
        <v>62</v>
      </c>
      <c r="AF100" s="127"/>
      <c r="AG100" s="127"/>
      <c r="AH100" s="127"/>
      <c r="AI100" s="127"/>
      <c r="AJ100" s="127"/>
      <c r="AK100" s="127"/>
      <c r="AL100" s="127"/>
      <c r="AM100" s="127"/>
      <c r="AN100" s="127"/>
      <c r="AO100" s="127"/>
      <c r="AP100" s="127"/>
      <c r="AQ100" s="127"/>
      <c r="AR100" s="128"/>
      <c r="AS100" s="124"/>
      <c r="AT100" s="125"/>
      <c r="AU100" s="125"/>
      <c r="AV100" s="126"/>
      <c r="AW100" s="8"/>
    </row>
    <row r="101" spans="2:49" ht="3" customHeight="1" x14ac:dyDescent="0.25">
      <c r="B101" s="1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2"/>
    </row>
    <row r="102" spans="2:49" ht="3" customHeight="1" x14ac:dyDescent="0.25">
      <c r="B102" s="160"/>
      <c r="C102" s="161"/>
      <c r="D102" s="161"/>
      <c r="E102" s="161"/>
      <c r="F102" s="161"/>
      <c r="G102" s="161"/>
      <c r="H102" s="161"/>
      <c r="I102" s="161"/>
      <c r="J102" s="161"/>
      <c r="K102" s="161"/>
      <c r="L102" s="161"/>
      <c r="M102" s="161"/>
      <c r="N102" s="161"/>
      <c r="O102" s="161"/>
      <c r="P102" s="161"/>
      <c r="Q102" s="161"/>
      <c r="R102" s="161"/>
      <c r="S102" s="161"/>
      <c r="T102" s="161"/>
      <c r="U102" s="161"/>
      <c r="V102" s="161"/>
      <c r="W102" s="161"/>
      <c r="X102" s="161"/>
      <c r="Y102" s="161"/>
      <c r="Z102" s="161"/>
      <c r="AA102" s="161"/>
      <c r="AB102" s="161"/>
      <c r="AC102" s="161"/>
      <c r="AD102" s="161"/>
      <c r="AE102" s="161"/>
      <c r="AF102" s="161"/>
      <c r="AG102" s="161"/>
      <c r="AH102" s="161"/>
      <c r="AI102" s="161"/>
      <c r="AJ102" s="161"/>
      <c r="AK102" s="161"/>
      <c r="AL102" s="161"/>
      <c r="AM102" s="161"/>
      <c r="AN102" s="161"/>
      <c r="AO102" s="161"/>
      <c r="AP102" s="161"/>
      <c r="AQ102" s="161"/>
      <c r="AR102" s="161"/>
      <c r="AS102" s="161"/>
      <c r="AT102" s="161"/>
      <c r="AU102" s="161"/>
      <c r="AV102" s="161"/>
      <c r="AW102" s="162"/>
    </row>
    <row r="103" spans="2:49" ht="30.75" customHeight="1" x14ac:dyDescent="0.25">
      <c r="B103" s="122" t="str">
        <f>IF(TipoFonte="Solar","Preencher o quadro abaixo para projeto de CENTRAL GERADORA FOTOVOLTAICA.",IF(TipoFonte="Hidráulica","Preencher o quadro abaixo para projeto de CENTRAL GERADORA HIDRELÉTRICA - CGH. Preencher também a seção de Segurança das Barragens conforme a Lei 12.334/2010",IF(OR(TipoFonte="Cogeração Qualificada",TipoFonte="Biomassa")," Preencher o quadro abaixo para projeto de CENTRAL GERADORA TÉRMICA.",IF(TipoFonte="Eólica"," Preencher o quadro abaixo para projeto de CENTRAL GERADORA EÓLICA.",""))))</f>
        <v>Preencher o quadro abaixo para projeto de CENTRAL GERADORA FOTOVOLTAICA.</v>
      </c>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23"/>
      <c r="AK103" s="123"/>
      <c r="AL103" s="123"/>
      <c r="AM103" s="123"/>
      <c r="AN103" s="123"/>
      <c r="AO103" s="123"/>
      <c r="AP103" s="123"/>
      <c r="AQ103" s="123"/>
      <c r="AR103" s="123"/>
      <c r="AS103" s="123"/>
      <c r="AT103" s="123"/>
      <c r="AU103" s="123"/>
      <c r="AV103" s="123"/>
      <c r="AW103" s="8"/>
    </row>
    <row r="104" spans="2:49" ht="3" customHeight="1" x14ac:dyDescent="0.25">
      <c r="B104" s="37"/>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8"/>
    </row>
    <row r="105" spans="2:49" ht="3" customHeight="1" x14ac:dyDescent="0.25">
      <c r="B105" s="10"/>
      <c r="AW105" s="8"/>
    </row>
    <row r="106" spans="2:49" ht="15" customHeight="1" x14ac:dyDescent="0.25">
      <c r="B106" s="10"/>
      <c r="C106" s="250" t="str">
        <f>IF(Dados!D6=3," Os dados abaixo deverão ser preenchidos considerando a condição final da usina (potência atual + potência acrescida)","")</f>
        <v/>
      </c>
      <c r="D106" s="250"/>
      <c r="E106" s="250"/>
      <c r="F106" s="250"/>
      <c r="G106" s="250"/>
      <c r="H106" s="250"/>
      <c r="I106" s="250"/>
      <c r="J106" s="250"/>
      <c r="K106" s="250"/>
      <c r="L106" s="250"/>
      <c r="M106" s="250"/>
      <c r="N106" s="250"/>
      <c r="O106" s="250"/>
      <c r="P106" s="250"/>
      <c r="Q106" s="250"/>
      <c r="R106" s="250"/>
      <c r="S106" s="250"/>
      <c r="T106" s="250"/>
      <c r="U106" s="250"/>
      <c r="V106" s="250"/>
      <c r="W106" s="250"/>
      <c r="X106" s="250"/>
      <c r="Y106" s="250"/>
      <c r="Z106" s="250"/>
      <c r="AA106" s="250"/>
      <c r="AB106" s="250"/>
      <c r="AC106" s="250"/>
      <c r="AD106" s="250"/>
      <c r="AE106" s="250"/>
      <c r="AF106" s="250"/>
      <c r="AG106" s="250"/>
      <c r="AH106" s="250"/>
      <c r="AI106" s="250"/>
      <c r="AJ106" s="250"/>
      <c r="AK106" s="250"/>
      <c r="AL106" s="250"/>
      <c r="AM106" s="250"/>
      <c r="AN106" s="250"/>
      <c r="AO106" s="250"/>
      <c r="AP106" s="250"/>
      <c r="AQ106" s="250"/>
      <c r="AR106" s="250"/>
      <c r="AS106" s="250"/>
      <c r="AT106" s="250"/>
      <c r="AU106" s="250"/>
      <c r="AW106" s="8"/>
    </row>
    <row r="107" spans="2:49" ht="6" customHeight="1" thickBot="1" x14ac:dyDescent="0.3">
      <c r="B107" s="10"/>
      <c r="AW107" s="8"/>
    </row>
    <row r="108" spans="2:49" x14ac:dyDescent="0.25">
      <c r="B108" s="10" t="str">
        <f>IF(TipoFonte="Solar","Modelo dos Módulos:",IF(OR(TipoFonte="Hidráulica",TipoFonte="Biomassa",TipoFonte="Cogeração Qualificada"),"Potência Aparente (kVA):",IF(TipoFonte="Eólica","Quantidade de Aerogeradores:","")))</f>
        <v>Modelo dos Módulos:</v>
      </c>
      <c r="L108" s="235"/>
      <c r="M108" s="236"/>
      <c r="N108" s="236"/>
      <c r="O108" s="236"/>
      <c r="P108" s="236"/>
      <c r="Q108" s="236"/>
      <c r="R108" s="236"/>
      <c r="S108" s="236"/>
      <c r="T108" s="236"/>
      <c r="U108" s="236"/>
      <c r="V108" s="236"/>
      <c r="W108" s="17"/>
      <c r="X108" s="17" t="str">
        <f>IF(TipoFonte="Solar","Modelo dos Inversores:",IF(OR(TipoFonte="Hidráulica",TipoFonte="Biomassa",TipoFonte="Eólica",TipoFonte="Cogeração Qualificada"),"Potência Instalada (kW):",""))</f>
        <v>Modelo dos Inversores:</v>
      </c>
      <c r="Y108" s="17"/>
      <c r="Z108" s="17"/>
      <c r="AA108" s="17"/>
      <c r="AB108" s="17"/>
      <c r="AC108" s="17"/>
      <c r="AD108" s="17"/>
      <c r="AE108" s="17"/>
      <c r="AF108" s="17"/>
      <c r="AG108" s="17"/>
      <c r="AH108" s="17"/>
      <c r="AI108" s="235"/>
      <c r="AJ108" s="236"/>
      <c r="AK108" s="236"/>
      <c r="AL108" s="236"/>
      <c r="AM108" s="236"/>
      <c r="AN108" s="236"/>
      <c r="AO108" s="236"/>
      <c r="AP108" s="236"/>
      <c r="AQ108" s="236"/>
      <c r="AR108" s="236"/>
      <c r="AS108" s="236"/>
      <c r="AT108" s="17"/>
      <c r="AU108" s="17"/>
      <c r="AW108" s="8"/>
    </row>
    <row r="109" spans="2:49" ht="3.95" customHeight="1" thickBot="1" x14ac:dyDescent="0.3">
      <c r="B109" s="10"/>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W109" s="8"/>
    </row>
    <row r="110" spans="2:49" ht="15" customHeight="1" x14ac:dyDescent="0.25">
      <c r="B110" s="10" t="str">
        <f>IF(TipoFonte="Solar","Fabricante dos Módulos:",IF(TipoFonte="Hidráulica","Tensão (kV):",IF(OR(TipoFonte="Cogeração Qualificada",TipoFonte="Biomassa"),"Combustível:",IF(TipoFonte="Eólica","Fabricante dos Aerogeradores:",""))))</f>
        <v>Fabricante dos Módulos:</v>
      </c>
      <c r="L110" s="235"/>
      <c r="M110" s="236"/>
      <c r="N110" s="236"/>
      <c r="O110" s="236"/>
      <c r="P110" s="236"/>
      <c r="Q110" s="236"/>
      <c r="R110" s="236"/>
      <c r="S110" s="236"/>
      <c r="T110" s="236"/>
      <c r="U110" s="236"/>
      <c r="V110" s="236"/>
      <c r="W110" s="17"/>
      <c r="X110" s="17" t="str">
        <f>IF(TipoFonte="Solar","Fabricante dos Inversores:",IF(OR(TipoFonte="Cogeração Qualificada",TipoFonte="Biomassa"),"Nº do Despacho de qualificação:",IF(TipoFonte="Eólica","Modelo dos Aerogeradores:",IF(TipoFonte="Hidráulica","Nív. Oper. Normal Montante (m):",""))))</f>
        <v>Fabricante dos Inversores:</v>
      </c>
      <c r="Y110" s="17"/>
      <c r="Z110" s="17"/>
      <c r="AA110" s="17"/>
      <c r="AB110" s="17"/>
      <c r="AC110" s="17"/>
      <c r="AD110" s="17"/>
      <c r="AE110" s="17"/>
      <c r="AF110" s="17"/>
      <c r="AG110" s="17"/>
      <c r="AH110" s="17"/>
      <c r="AI110" s="174"/>
      <c r="AJ110" s="175"/>
      <c r="AK110" s="175"/>
      <c r="AL110" s="175"/>
      <c r="AM110" s="175"/>
      <c r="AN110" s="175"/>
      <c r="AO110" s="175"/>
      <c r="AP110" s="175"/>
      <c r="AQ110" s="175"/>
      <c r="AR110" s="175"/>
      <c r="AS110" s="175"/>
      <c r="AT110" s="17"/>
      <c r="AU110" s="17"/>
      <c r="AW110" s="8"/>
    </row>
    <row r="111" spans="2:49" ht="3.95" customHeight="1" thickBot="1" x14ac:dyDescent="0.3">
      <c r="B111" s="10"/>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W111" s="8"/>
    </row>
    <row r="112" spans="2:49" ht="15" customHeight="1" x14ac:dyDescent="0.25">
      <c r="B112" s="10" t="str">
        <f>IF(TipoFonte="Solar","Potência Nominal Módulo (W):",IF(OR(TipoFonte="Cogeração Qualificada",TipoFonte="Biomassa"),"Máq. Motriz (Motor/Turbina):",IF(TipoFonte="Eólica","Altura da pá (m):",IF(TipoFonte="Hidráulica","Nome do rio:",""))))</f>
        <v>Potência Nominal Módulo (W):</v>
      </c>
      <c r="L112" s="237"/>
      <c r="M112" s="238"/>
      <c r="N112" s="238"/>
      <c r="O112" s="238"/>
      <c r="P112" s="238"/>
      <c r="Q112" s="238"/>
      <c r="R112" s="238"/>
      <c r="S112" s="238"/>
      <c r="T112" s="238"/>
      <c r="U112" s="238"/>
      <c r="V112" s="238"/>
      <c r="W112" s="17"/>
      <c r="X112" s="17" t="str">
        <f>IF(TipoFonte="Solar","Potência Nominal Inversor (kW):",IF(TipoFonte="Hidráulica","Sub-bacia:",""))</f>
        <v>Potência Nominal Inversor (kW):</v>
      </c>
      <c r="Y112" s="17"/>
      <c r="Z112" s="17"/>
      <c r="AA112" s="17"/>
      <c r="AB112" s="17"/>
      <c r="AC112" s="17"/>
      <c r="AD112" s="17"/>
      <c r="AE112" s="17"/>
      <c r="AF112" s="17"/>
      <c r="AG112" s="17"/>
      <c r="AH112" s="17"/>
      <c r="AI112" s="239"/>
      <c r="AJ112" s="240"/>
      <c r="AK112" s="240"/>
      <c r="AL112" s="240"/>
      <c r="AM112" s="240"/>
      <c r="AN112" s="240"/>
      <c r="AO112" s="240"/>
      <c r="AP112" s="240"/>
      <c r="AQ112" s="240"/>
      <c r="AR112" s="240"/>
      <c r="AS112" s="240"/>
      <c r="AT112" s="17"/>
      <c r="AU112" s="17"/>
      <c r="AW112" s="8"/>
    </row>
    <row r="113" spans="2:50" ht="3.95" customHeight="1" thickBot="1" x14ac:dyDescent="0.3">
      <c r="B113" s="10"/>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W113" s="8"/>
    </row>
    <row r="114" spans="2:50" ht="15" customHeight="1" x14ac:dyDescent="0.25">
      <c r="B114" s="10" t="str">
        <f>IF(TipoFonte="Solar","Quantidade de Módulos:",IF(TipoFonte="Hidráulica","Nív. Oper. Normal Jusante (m):",IF(OR(TipoFonte="Cogeração Qualificada",TipoFonte="Biomassa"),"Ciclo Termodin.(Aberto/Fechado):",IF(TipoFonte="Eólica","Eixo do rotor:",""))))</f>
        <v>Quantidade de Módulos:</v>
      </c>
      <c r="L114" s="239"/>
      <c r="M114" s="240"/>
      <c r="N114" s="240"/>
      <c r="O114" s="240"/>
      <c r="P114" s="240"/>
      <c r="Q114" s="240"/>
      <c r="R114" s="240"/>
      <c r="S114" s="240"/>
      <c r="T114" s="240"/>
      <c r="U114" s="240"/>
      <c r="V114" s="240"/>
      <c r="W114" s="17"/>
      <c r="X114" s="17" t="str">
        <f>IF(TipoFonte="Solar","Quantidade de Inversores:","")</f>
        <v>Quantidade de Inversores:</v>
      </c>
      <c r="Y114" s="64"/>
      <c r="Z114" s="64"/>
      <c r="AA114" s="17"/>
      <c r="AB114" s="17"/>
      <c r="AC114" s="17"/>
      <c r="AD114" s="17"/>
      <c r="AE114" s="17"/>
      <c r="AF114" s="17"/>
      <c r="AG114" s="17"/>
      <c r="AH114" s="17"/>
      <c r="AI114" s="239"/>
      <c r="AJ114" s="240"/>
      <c r="AK114" s="240"/>
      <c r="AL114" s="240"/>
      <c r="AM114" s="240"/>
      <c r="AN114" s="240"/>
      <c r="AO114" s="240"/>
      <c r="AP114" s="240"/>
      <c r="AQ114" s="240"/>
      <c r="AR114" s="240"/>
      <c r="AS114" s="240"/>
      <c r="AT114" s="17"/>
      <c r="AU114" s="17"/>
      <c r="AW114" s="8"/>
    </row>
    <row r="115" spans="2:50" ht="3.95" customHeight="1" thickBot="1" x14ac:dyDescent="0.3">
      <c r="B115" s="10"/>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c r="AW115" s="8"/>
    </row>
    <row r="116" spans="2:50" ht="15" customHeight="1" x14ac:dyDescent="0.25">
      <c r="B116" s="10" t="str">
        <f>IF(TipoFonte="Solar","Potência Total Módulos (kW):",IF(OR(TipoFonte="Hidráulica",TipoFonte="Biomassa",TipoFonte="Eólica",TipoFonte="Cogeração Qualificada"),"Fator de Potência:",""))</f>
        <v>Potência Total Módulos (kW):</v>
      </c>
      <c r="L116" s="241"/>
      <c r="M116" s="242"/>
      <c r="N116" s="242"/>
      <c r="O116" s="242"/>
      <c r="P116" s="242"/>
      <c r="Q116" s="242"/>
      <c r="R116" s="242"/>
      <c r="S116" s="242"/>
      <c r="T116" s="242"/>
      <c r="U116" s="242"/>
      <c r="V116" s="242"/>
      <c r="X116" t="str">
        <f>IF(TipoFonte="Solar","Potência Total dos Inversores (kW):","")</f>
        <v>Potência Total dos Inversores (kW):</v>
      </c>
      <c r="AI116" s="241"/>
      <c r="AJ116" s="242"/>
      <c r="AK116" s="242"/>
      <c r="AL116" s="242"/>
      <c r="AM116" s="242"/>
      <c r="AN116" s="242"/>
      <c r="AO116" s="242"/>
      <c r="AP116" s="242"/>
      <c r="AQ116" s="242"/>
      <c r="AR116" s="242"/>
      <c r="AS116" s="242"/>
      <c r="AW116" s="8"/>
    </row>
    <row r="117" spans="2:50" ht="3" customHeight="1" thickBot="1" x14ac:dyDescent="0.3">
      <c r="B117" s="10"/>
      <c r="AW117" s="8"/>
    </row>
    <row r="118" spans="2:50" ht="15" customHeight="1" x14ac:dyDescent="0.25">
      <c r="B118" s="10" t="str">
        <f>IF(TipoFonte="Solar","Área dos Arranjos (m²):","")</f>
        <v>Área dos Arranjos (m²):</v>
      </c>
      <c r="L118" s="174"/>
      <c r="M118" s="175"/>
      <c r="N118" s="175"/>
      <c r="O118" s="175"/>
      <c r="P118" s="175"/>
      <c r="Q118" s="175"/>
      <c r="R118" s="175"/>
      <c r="S118" s="175"/>
      <c r="T118" s="175"/>
      <c r="U118" s="175"/>
      <c r="V118" s="175"/>
      <c r="X118" t="str">
        <f>IF(TipoFonte="Solar","Tensão de Conexão do Inversor (V):","")</f>
        <v>Tensão de Conexão do Inversor (V):</v>
      </c>
      <c r="AI118" s="174"/>
      <c r="AJ118" s="175"/>
      <c r="AK118" s="175"/>
      <c r="AL118" s="175"/>
      <c r="AM118" s="175"/>
      <c r="AN118" s="175"/>
      <c r="AO118" s="175"/>
      <c r="AP118" s="175"/>
      <c r="AQ118" s="175"/>
      <c r="AR118" s="175"/>
      <c r="AS118" s="175"/>
      <c r="AW118" s="8"/>
      <c r="AX118" s="10"/>
    </row>
    <row r="119" spans="2:50" ht="3" customHeight="1" x14ac:dyDescent="0.25">
      <c r="B119" s="10"/>
      <c r="AW119" s="8"/>
      <c r="AX119" s="10"/>
    </row>
    <row r="120" spans="2:50" x14ac:dyDescent="0.25">
      <c r="B120" s="10"/>
      <c r="X120" s="97" t="str">
        <f>IF(TipoFonte="Solar","Obs.: Para mais de 1 modelo de inversor, utilizar barra (/) para separar as informações","")</f>
        <v>Obs.: Para mais de 1 modelo de inversor, utilizar barra (/) para separar as informações</v>
      </c>
      <c r="AW120" s="8"/>
      <c r="AX120" s="10"/>
    </row>
    <row r="121" spans="2:50" ht="3.95" customHeight="1" x14ac:dyDescent="0.25">
      <c r="B121" s="163"/>
      <c r="C121" s="139"/>
      <c r="D121" s="139"/>
      <c r="E121" s="139"/>
      <c r="F121" s="139"/>
      <c r="G121" s="139"/>
      <c r="H121" s="139"/>
      <c r="I121" s="139"/>
      <c r="J121" s="139"/>
      <c r="K121" s="139"/>
      <c r="L121" s="139"/>
      <c r="M121" s="139"/>
      <c r="N121" s="139"/>
      <c r="O121" s="139"/>
      <c r="P121" s="139"/>
      <c r="Q121" s="139"/>
      <c r="R121" s="139"/>
      <c r="S121" s="139"/>
      <c r="T121" s="139"/>
      <c r="U121" s="139"/>
      <c r="V121" s="139"/>
      <c r="W121" s="139"/>
      <c r="X121" s="139"/>
      <c r="Y121" s="139"/>
      <c r="Z121" s="139"/>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64"/>
    </row>
    <row r="122" spans="2:50" ht="3.95" customHeight="1" x14ac:dyDescent="0.25">
      <c r="B122" s="160"/>
      <c r="C122" s="161"/>
      <c r="D122" s="161"/>
      <c r="E122" s="161"/>
      <c r="F122" s="161"/>
      <c r="G122" s="161"/>
      <c r="H122" s="161"/>
      <c r="I122" s="161"/>
      <c r="J122" s="161"/>
      <c r="K122" s="161"/>
      <c r="L122" s="161"/>
      <c r="M122" s="161"/>
      <c r="N122" s="161"/>
      <c r="O122" s="161"/>
      <c r="P122" s="161"/>
      <c r="Q122" s="161"/>
      <c r="R122" s="161"/>
      <c r="S122" s="161"/>
      <c r="T122" s="161"/>
      <c r="U122" s="161"/>
      <c r="V122" s="161"/>
      <c r="W122" s="161"/>
      <c r="X122" s="161"/>
      <c r="Y122" s="161"/>
      <c r="Z122" s="161"/>
      <c r="AA122" s="161"/>
      <c r="AB122" s="161"/>
      <c r="AC122" s="161"/>
      <c r="AD122" s="161"/>
      <c r="AE122" s="161"/>
      <c r="AF122" s="161"/>
      <c r="AG122" s="161"/>
      <c r="AH122" s="161"/>
      <c r="AI122" s="161"/>
      <c r="AJ122" s="161"/>
      <c r="AK122" s="161"/>
      <c r="AL122" s="161"/>
      <c r="AM122" s="161"/>
      <c r="AN122" s="161"/>
      <c r="AO122" s="161"/>
      <c r="AP122" s="161"/>
      <c r="AQ122" s="161"/>
      <c r="AR122" s="161"/>
      <c r="AS122" s="161"/>
      <c r="AT122" s="161"/>
      <c r="AU122" s="161"/>
      <c r="AV122" s="161"/>
      <c r="AW122" s="162"/>
    </row>
    <row r="123" spans="2:50" x14ac:dyDescent="0.25">
      <c r="B123" s="18" t="s">
        <v>13</v>
      </c>
      <c r="AW123" s="8"/>
    </row>
    <row r="124" spans="2:50" ht="3" customHeight="1" thickBot="1" x14ac:dyDescent="0.3">
      <c r="B124" s="10"/>
      <c r="AW124" s="8"/>
    </row>
    <row r="125" spans="2:50" x14ac:dyDescent="0.25">
      <c r="B125" s="10" t="s">
        <v>24</v>
      </c>
      <c r="K125" s="136"/>
      <c r="L125" s="137"/>
      <c r="M125" s="137"/>
      <c r="N125" s="137"/>
      <c r="O125" s="137"/>
      <c r="P125" s="137"/>
      <c r="Q125" s="137"/>
      <c r="R125" s="138"/>
      <c r="Y125" s="127" t="s">
        <v>26</v>
      </c>
      <c r="Z125" s="127"/>
      <c r="AA125" s="127"/>
      <c r="AB125" s="127"/>
      <c r="AC125" s="127"/>
      <c r="AD125" s="127"/>
      <c r="AE125" s="127"/>
      <c r="AF125" s="127"/>
      <c r="AG125" s="127"/>
      <c r="AH125" s="127"/>
      <c r="AI125" s="127"/>
      <c r="AJ125" s="127"/>
      <c r="AK125" s="128"/>
      <c r="AL125" s="136"/>
      <c r="AM125" s="137"/>
      <c r="AN125" s="137"/>
      <c r="AO125" s="137"/>
      <c r="AP125" s="137"/>
      <c r="AQ125" s="137"/>
      <c r="AR125" s="137"/>
      <c r="AS125" s="138"/>
      <c r="AW125" s="8"/>
    </row>
    <row r="126" spans="2:50" ht="3" customHeight="1" thickBot="1" x14ac:dyDescent="0.3">
      <c r="B126" s="10"/>
      <c r="AW126" s="8"/>
    </row>
    <row r="127" spans="2:50" x14ac:dyDescent="0.25">
      <c r="B127" s="10" t="s">
        <v>25</v>
      </c>
      <c r="H127" s="129"/>
      <c r="I127" s="130"/>
      <c r="J127" s="130"/>
      <c r="K127" s="130"/>
      <c r="L127" s="130"/>
      <c r="M127" s="130"/>
      <c r="N127" s="130"/>
      <c r="O127" s="130"/>
      <c r="P127" s="130"/>
      <c r="Q127" s="130"/>
      <c r="R127" s="131"/>
      <c r="Y127" t="s">
        <v>27</v>
      </c>
      <c r="AL127" s="124"/>
      <c r="AM127" s="126"/>
      <c r="AW127" s="8"/>
    </row>
    <row r="128" spans="2:50" ht="3" customHeight="1" thickBot="1" x14ac:dyDescent="0.3">
      <c r="B128" s="10"/>
      <c r="AW128" s="8"/>
    </row>
    <row r="129" spans="2:49" x14ac:dyDescent="0.25">
      <c r="B129" s="10" t="s">
        <v>28</v>
      </c>
      <c r="N129" s="129"/>
      <c r="O129" s="130"/>
      <c r="P129" s="130"/>
      <c r="Q129" s="130"/>
      <c r="R129" s="131"/>
      <c r="AW129" s="8"/>
    </row>
    <row r="130" spans="2:49" ht="3" customHeight="1" x14ac:dyDescent="0.25">
      <c r="B130" s="1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2"/>
    </row>
    <row r="131" spans="2:49" ht="3" customHeight="1" x14ac:dyDescent="0.25"/>
    <row r="132" spans="2:49" x14ac:dyDescent="0.25">
      <c r="B132" s="152" t="s">
        <v>293</v>
      </c>
      <c r="C132" s="153"/>
      <c r="D132" s="153"/>
      <c r="E132" s="153"/>
      <c r="F132" s="153"/>
      <c r="G132" s="153"/>
      <c r="H132" s="153"/>
      <c r="I132" s="153"/>
      <c r="J132" s="153"/>
      <c r="K132" s="153"/>
      <c r="L132" s="153"/>
      <c r="M132" s="153"/>
      <c r="N132" s="153"/>
      <c r="O132" s="153"/>
      <c r="P132" s="153"/>
      <c r="Q132" s="153"/>
      <c r="R132" s="153"/>
      <c r="S132" s="153"/>
      <c r="T132" s="153"/>
      <c r="U132" s="153"/>
      <c r="V132" s="153"/>
      <c r="W132" s="153"/>
      <c r="X132" s="153"/>
      <c r="Y132" s="153"/>
      <c r="Z132" s="153"/>
      <c r="AA132" s="153"/>
      <c r="AB132" s="153"/>
      <c r="AC132" s="153"/>
      <c r="AD132" s="153"/>
      <c r="AE132" s="153"/>
      <c r="AF132" s="153"/>
      <c r="AG132" s="153"/>
      <c r="AH132" s="153"/>
      <c r="AI132" s="153"/>
      <c r="AJ132" s="153"/>
      <c r="AK132" s="153"/>
      <c r="AL132" s="153"/>
      <c r="AM132" s="153"/>
      <c r="AN132" s="153"/>
      <c r="AO132" s="153"/>
      <c r="AP132" s="153"/>
      <c r="AQ132" s="153"/>
      <c r="AR132" s="153"/>
      <c r="AS132" s="153"/>
      <c r="AT132" s="153"/>
      <c r="AU132" s="153"/>
      <c r="AV132" s="153"/>
      <c r="AW132" s="154"/>
    </row>
    <row r="133" spans="2:49" ht="3" customHeight="1" thickBot="1" x14ac:dyDescent="0.3">
      <c r="B133" s="10"/>
      <c r="AW133" s="8"/>
    </row>
    <row r="134" spans="2:49" x14ac:dyDescent="0.25">
      <c r="B134" s="10" t="s">
        <v>275</v>
      </c>
      <c r="R134" s="119" t="s">
        <v>222</v>
      </c>
      <c r="S134" s="120"/>
      <c r="T134" s="120"/>
      <c r="U134" s="120"/>
      <c r="V134" s="121"/>
      <c r="AW134" s="8"/>
    </row>
    <row r="135" spans="2:49" ht="3" customHeight="1" thickBot="1" x14ac:dyDescent="0.3">
      <c r="B135" s="10"/>
      <c r="AW135" s="8"/>
    </row>
    <row r="136" spans="2:49" x14ac:dyDescent="0.25">
      <c r="B136" s="10" t="str">
        <f>IF(R134="Sim","Sistema com possibilidade de operação ilhada:","")</f>
        <v/>
      </c>
      <c r="R136" s="119"/>
      <c r="S136" s="120"/>
      <c r="T136" s="120"/>
      <c r="U136" s="120"/>
      <c r="V136" s="121"/>
      <c r="AW136" s="8"/>
    </row>
    <row r="137" spans="2:49" ht="3" customHeight="1" thickBot="1" x14ac:dyDescent="0.3">
      <c r="B137" s="10"/>
      <c r="AW137" s="8"/>
    </row>
    <row r="138" spans="2:49" x14ac:dyDescent="0.25">
      <c r="B138" s="10"/>
      <c r="E138" t="str">
        <f>IF(R136="Sim","Chave de desconexão física:","")</f>
        <v/>
      </c>
      <c r="O138" s="119"/>
      <c r="P138" s="120"/>
      <c r="Q138" s="120"/>
      <c r="R138" s="120"/>
      <c r="S138" s="121"/>
      <c r="AB138" t="str">
        <f>IF(R136="Sim","Reconexão automática:","")</f>
        <v/>
      </c>
      <c r="AJ138" s="119"/>
      <c r="AK138" s="120"/>
      <c r="AL138" s="120"/>
      <c r="AM138" s="120"/>
      <c r="AN138" s="121"/>
      <c r="AW138" s="8"/>
    </row>
    <row r="139" spans="2:49" ht="3" customHeight="1" thickBot="1" x14ac:dyDescent="0.3">
      <c r="B139" s="10"/>
      <c r="AW139" s="8"/>
    </row>
    <row r="140" spans="2:49" x14ac:dyDescent="0.25">
      <c r="B140" s="10" t="str">
        <f>IF(R134="Sim","Capacidade do banco de baterias (kWh):","")</f>
        <v/>
      </c>
      <c r="P140" s="102"/>
      <c r="Q140" s="104"/>
      <c r="R140" s="104"/>
      <c r="S140" s="104"/>
      <c r="T140" s="104"/>
      <c r="U140" s="104"/>
      <c r="V140" s="104"/>
      <c r="W140" s="103"/>
      <c r="AW140" s="8"/>
    </row>
    <row r="141" spans="2:49" ht="3" customHeight="1" thickBot="1" x14ac:dyDescent="0.3">
      <c r="B141" s="10"/>
      <c r="AW141" s="8"/>
    </row>
    <row r="142" spans="2:49" x14ac:dyDescent="0.25">
      <c r="B142" s="10" t="str">
        <f>IF(R134="Sim","Potência total do banco de baterias (kW):","")</f>
        <v/>
      </c>
      <c r="P142" s="102"/>
      <c r="Q142" s="104"/>
      <c r="R142" s="104"/>
      <c r="S142" s="104"/>
      <c r="T142" s="104"/>
      <c r="U142" s="104"/>
      <c r="V142" s="104"/>
      <c r="W142" s="103"/>
      <c r="AW142" s="8"/>
    </row>
    <row r="143" spans="2:49" ht="3" customHeight="1" thickBot="1" x14ac:dyDescent="0.3">
      <c r="B143" s="10"/>
      <c r="AW143" s="8"/>
    </row>
    <row r="144" spans="2:49" x14ac:dyDescent="0.25">
      <c r="B144" s="10" t="str">
        <f>IF(R134="Sim","Capacidade nominal do banco de baterias (Ah):","")</f>
        <v/>
      </c>
      <c r="R144" s="102"/>
      <c r="S144" s="104"/>
      <c r="T144" s="104"/>
      <c r="U144" s="104"/>
      <c r="V144" s="104"/>
      <c r="W144" s="104"/>
      <c r="X144" s="104"/>
      <c r="Y144" s="103"/>
      <c r="AW144" s="8"/>
    </row>
    <row r="145" spans="2:49" ht="3" customHeight="1" thickBot="1" x14ac:dyDescent="0.3">
      <c r="B145" s="10"/>
      <c r="AW145" s="8"/>
    </row>
    <row r="146" spans="2:49" x14ac:dyDescent="0.25">
      <c r="B146" s="10" t="str">
        <f>IF(R134="Sim","Tensão do banco de baterias em corrente contínua (V):","")</f>
        <v/>
      </c>
      <c r="T146" s="102"/>
      <c r="U146" s="104"/>
      <c r="V146" s="104"/>
      <c r="W146" s="104"/>
      <c r="X146" s="104"/>
      <c r="Y146" s="104"/>
      <c r="Z146" s="104"/>
      <c r="AA146" s="103"/>
      <c r="AW146" s="8"/>
    </row>
    <row r="147" spans="2:49" ht="3" customHeight="1" thickBot="1" x14ac:dyDescent="0.3">
      <c r="B147" s="10"/>
      <c r="AW147" s="8"/>
    </row>
    <row r="148" spans="2:49" x14ac:dyDescent="0.25">
      <c r="B148" s="10" t="str">
        <f>IF(R134="Sim","Profundidade de descarga do banco de baterias (%):","")</f>
        <v/>
      </c>
      <c r="T148" s="102"/>
      <c r="U148" s="104"/>
      <c r="V148" s="104"/>
      <c r="W148" s="104"/>
      <c r="X148" s="104"/>
      <c r="Y148" s="104"/>
      <c r="Z148" s="104"/>
      <c r="AA148" s="103"/>
      <c r="AW148" s="8"/>
    </row>
    <row r="149" spans="2:49" ht="3" customHeight="1" thickBot="1" x14ac:dyDescent="0.3">
      <c r="B149" s="10"/>
      <c r="AW149" s="8"/>
    </row>
    <row r="150" spans="2:49" x14ac:dyDescent="0.25">
      <c r="B150" s="10" t="str">
        <f>IF(R134="Sim","Produção mensal da central geradora distribuída (kWh):","")</f>
        <v/>
      </c>
      <c r="U150" s="102"/>
      <c r="V150" s="104"/>
      <c r="W150" s="104"/>
      <c r="X150" s="104"/>
      <c r="Y150" s="104"/>
      <c r="Z150" s="104"/>
      <c r="AA150" s="104"/>
      <c r="AB150" s="103"/>
      <c r="AW150" s="8"/>
    </row>
    <row r="151" spans="2:49" ht="3" customHeight="1" x14ac:dyDescent="0.25">
      <c r="B151" s="1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2"/>
    </row>
    <row r="152" spans="2:49" ht="3" customHeight="1" x14ac:dyDescent="0.25"/>
    <row r="153" spans="2:49" ht="15" customHeight="1" x14ac:dyDescent="0.25">
      <c r="B153" s="152" t="s">
        <v>294</v>
      </c>
      <c r="C153" s="153"/>
      <c r="D153" s="153"/>
      <c r="E153" s="153"/>
      <c r="F153" s="153"/>
      <c r="G153" s="153"/>
      <c r="H153" s="153"/>
      <c r="I153" s="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c r="AP153" s="153"/>
      <c r="AQ153" s="153"/>
      <c r="AR153" s="153"/>
      <c r="AS153" s="153"/>
      <c r="AT153" s="153"/>
      <c r="AU153" s="153"/>
      <c r="AV153" s="153"/>
      <c r="AW153" s="154"/>
    </row>
    <row r="154" spans="2:49" ht="4.5" customHeight="1" x14ac:dyDescent="0.25">
      <c r="B154" s="10"/>
      <c r="E154" s="31"/>
      <c r="AW154" s="8"/>
    </row>
    <row r="155" spans="2:49" s="47" customFormat="1" ht="30" customHeight="1" x14ac:dyDescent="0.25">
      <c r="B155" s="115" t="s">
        <v>295</v>
      </c>
      <c r="C155" s="105"/>
      <c r="D155" s="105"/>
      <c r="E155" s="105"/>
      <c r="F155" s="105"/>
      <c r="G155" s="105"/>
      <c r="H155" s="105"/>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c r="AJ155" s="105"/>
      <c r="AK155" s="105"/>
      <c r="AL155" s="105"/>
      <c r="AM155" s="105"/>
      <c r="AN155" s="105"/>
      <c r="AO155" s="105"/>
      <c r="AP155" s="105"/>
      <c r="AQ155" s="105"/>
      <c r="AR155" s="105"/>
      <c r="AS155" s="105"/>
      <c r="AT155" s="105"/>
      <c r="AU155" s="105"/>
      <c r="AV155" s="105"/>
      <c r="AW155" s="48"/>
    </row>
    <row r="156" spans="2:49" s="47" customFormat="1" ht="3" customHeight="1" x14ac:dyDescent="0.25">
      <c r="B156" s="46"/>
      <c r="AW156" s="48"/>
    </row>
    <row r="157" spans="2:49" s="47" customFormat="1" ht="23.25" customHeight="1" x14ac:dyDescent="0.25">
      <c r="B157" s="113" t="s">
        <v>296</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c r="AR157" s="114"/>
      <c r="AS157" s="114"/>
      <c r="AT157" s="114"/>
      <c r="AU157" s="114"/>
      <c r="AV157" s="114"/>
      <c r="AW157" s="48"/>
    </row>
    <row r="158" spans="2:49" s="47" customFormat="1" x14ac:dyDescent="0.25">
      <c r="B158" s="113"/>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48"/>
    </row>
    <row r="159" spans="2:49" s="47" customFormat="1" ht="3" customHeight="1" x14ac:dyDescent="0.25">
      <c r="B159" s="49"/>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c r="AA159" s="50"/>
      <c r="AB159" s="50"/>
      <c r="AC159" s="50"/>
      <c r="AD159" s="50"/>
      <c r="AE159" s="50"/>
      <c r="AF159" s="50"/>
      <c r="AG159" s="50"/>
      <c r="AH159" s="50"/>
      <c r="AI159" s="50"/>
      <c r="AJ159" s="50"/>
      <c r="AK159" s="50"/>
      <c r="AL159" s="50"/>
      <c r="AM159" s="50"/>
      <c r="AN159" s="50"/>
      <c r="AO159" s="50"/>
      <c r="AP159" s="50"/>
      <c r="AQ159" s="50"/>
      <c r="AR159" s="50"/>
      <c r="AS159" s="50"/>
      <c r="AT159" s="50"/>
      <c r="AU159" s="50"/>
      <c r="AV159" s="50"/>
      <c r="AW159" s="48"/>
    </row>
    <row r="160" spans="2:49" s="47" customFormat="1" ht="17.100000000000001" customHeight="1" x14ac:dyDescent="0.25">
      <c r="B160" s="46" t="s">
        <v>297</v>
      </c>
      <c r="AW160" s="48"/>
    </row>
    <row r="161" spans="2:49" s="47" customFormat="1" ht="3" customHeight="1" x14ac:dyDescent="0.25">
      <c r="B161" s="46"/>
      <c r="AW161" s="48"/>
    </row>
    <row r="162" spans="2:49" s="47" customFormat="1" ht="17.100000000000001" customHeight="1" x14ac:dyDescent="0.25">
      <c r="B162" s="115" t="s">
        <v>298</v>
      </c>
      <c r="C162" s="105"/>
      <c r="D162" s="105"/>
      <c r="E162" s="105"/>
      <c r="F162" s="105"/>
      <c r="G162" s="105"/>
      <c r="H162" s="105"/>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c r="AJ162" s="105"/>
      <c r="AK162" s="105"/>
      <c r="AL162" s="105"/>
      <c r="AM162" s="105"/>
      <c r="AN162" s="105"/>
      <c r="AO162" s="105"/>
      <c r="AP162" s="105"/>
      <c r="AQ162" s="105"/>
      <c r="AR162" s="105"/>
      <c r="AS162" s="105"/>
      <c r="AT162" s="105"/>
      <c r="AU162" s="105"/>
      <c r="AV162" s="105"/>
      <c r="AW162" s="48"/>
    </row>
    <row r="163" spans="2:49" s="47" customFormat="1" ht="17.100000000000001" customHeight="1" x14ac:dyDescent="0.25">
      <c r="B163" s="115"/>
      <c r="C163" s="105"/>
      <c r="D163" s="105"/>
      <c r="E163" s="105"/>
      <c r="F163" s="105"/>
      <c r="G163" s="105"/>
      <c r="H163" s="105"/>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c r="AJ163" s="105"/>
      <c r="AK163" s="105"/>
      <c r="AL163" s="105"/>
      <c r="AM163" s="105"/>
      <c r="AN163" s="105"/>
      <c r="AO163" s="105"/>
      <c r="AP163" s="105"/>
      <c r="AQ163" s="105"/>
      <c r="AR163" s="105"/>
      <c r="AS163" s="105"/>
      <c r="AT163" s="105"/>
      <c r="AU163" s="105"/>
      <c r="AV163" s="105"/>
      <c r="AW163" s="48"/>
    </row>
    <row r="164" spans="2:49" s="47" customFormat="1" ht="3" customHeight="1" x14ac:dyDescent="0.25">
      <c r="B164" s="51"/>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48"/>
    </row>
    <row r="165" spans="2:49" s="47" customFormat="1" ht="17.100000000000001" customHeight="1" x14ac:dyDescent="0.25">
      <c r="B165" s="46" t="s">
        <v>299</v>
      </c>
      <c r="AW165" s="48"/>
    </row>
    <row r="166" spans="2:49" s="47" customFormat="1" ht="3" customHeight="1" x14ac:dyDescent="0.25">
      <c r="B166" s="46"/>
      <c r="AW166" s="48"/>
    </row>
    <row r="167" spans="2:49" s="47" customFormat="1" ht="30" customHeight="1" x14ac:dyDescent="0.25">
      <c r="B167" s="115" t="s">
        <v>377</v>
      </c>
      <c r="C167" s="105"/>
      <c r="D167" s="105"/>
      <c r="E167" s="105"/>
      <c r="F167" s="105"/>
      <c r="G167" s="105"/>
      <c r="H167" s="105"/>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c r="AJ167" s="105"/>
      <c r="AK167" s="105"/>
      <c r="AL167" s="105"/>
      <c r="AM167" s="105"/>
      <c r="AN167" s="105"/>
      <c r="AO167" s="105"/>
      <c r="AP167" s="105"/>
      <c r="AQ167" s="105"/>
      <c r="AR167" s="105"/>
      <c r="AS167" s="105"/>
      <c r="AT167" s="105"/>
      <c r="AU167" s="105"/>
      <c r="AV167" s="105"/>
      <c r="AW167" s="48"/>
    </row>
    <row r="168" spans="2:49" s="47" customFormat="1" ht="3" customHeight="1" x14ac:dyDescent="0.25">
      <c r="B168" s="51"/>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48"/>
    </row>
    <row r="169" spans="2:49" s="47" customFormat="1" ht="30" customHeight="1" x14ac:dyDescent="0.25">
      <c r="B169" s="115" t="s">
        <v>303</v>
      </c>
      <c r="C169" s="105"/>
      <c r="D169" s="105"/>
      <c r="E169" s="105"/>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48"/>
    </row>
    <row r="170" spans="2:49" s="47" customFormat="1" ht="3" customHeight="1" x14ac:dyDescent="0.25">
      <c r="B170" s="51"/>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48"/>
    </row>
    <row r="171" spans="2:49" s="47" customFormat="1" ht="17.100000000000001" customHeight="1" x14ac:dyDescent="0.25">
      <c r="B171" s="46" t="s">
        <v>304</v>
      </c>
      <c r="AW171" s="48"/>
    </row>
    <row r="172" spans="2:49" s="47" customFormat="1" ht="3" customHeight="1" x14ac:dyDescent="0.25">
      <c r="B172" s="46"/>
      <c r="AW172" s="48"/>
    </row>
    <row r="173" spans="2:49" s="47" customFormat="1" ht="30" customHeight="1" x14ac:dyDescent="0.25">
      <c r="B173" s="248" t="s">
        <v>305</v>
      </c>
      <c r="C173" s="249"/>
      <c r="D173" s="249"/>
      <c r="E173" s="249"/>
      <c r="F173" s="249"/>
      <c r="G173" s="249"/>
      <c r="H173" s="249"/>
      <c r="I173" s="249"/>
      <c r="J173" s="249"/>
      <c r="K173" s="249"/>
      <c r="L173" s="249"/>
      <c r="M173" s="249"/>
      <c r="N173" s="249"/>
      <c r="O173" s="249"/>
      <c r="P173" s="249"/>
      <c r="Q173" s="249"/>
      <c r="R173" s="249"/>
      <c r="S173" s="249"/>
      <c r="T173" s="249"/>
      <c r="U173" s="249"/>
      <c r="V173" s="249"/>
      <c r="W173" s="249"/>
      <c r="X173" s="249"/>
      <c r="Y173" s="249"/>
      <c r="Z173" s="249"/>
      <c r="AA173" s="249"/>
      <c r="AB173" s="249"/>
      <c r="AC173" s="249"/>
      <c r="AD173" s="249"/>
      <c r="AE173" s="249"/>
      <c r="AF173" s="249"/>
      <c r="AG173" s="249"/>
      <c r="AH173" s="249"/>
      <c r="AI173" s="249"/>
      <c r="AJ173" s="249"/>
      <c r="AK173" s="249"/>
      <c r="AL173" s="249"/>
      <c r="AM173" s="249"/>
      <c r="AN173" s="249"/>
      <c r="AO173" s="249"/>
      <c r="AP173" s="249"/>
      <c r="AQ173" s="249"/>
      <c r="AR173" s="249"/>
      <c r="AS173" s="249"/>
      <c r="AT173" s="249"/>
      <c r="AU173" s="249"/>
      <c r="AV173" s="249"/>
      <c r="AW173" s="48"/>
    </row>
    <row r="174" spans="2:49" s="47" customFormat="1" ht="3" customHeight="1" x14ac:dyDescent="0.25">
      <c r="B174" s="82"/>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48"/>
    </row>
    <row r="175" spans="2:49" s="47" customFormat="1" ht="30" customHeight="1" x14ac:dyDescent="0.25">
      <c r="B175" s="115" t="s">
        <v>306</v>
      </c>
      <c r="C175" s="105"/>
      <c r="D175" s="105"/>
      <c r="E175" s="105"/>
      <c r="F175" s="105"/>
      <c r="G175" s="105"/>
      <c r="H175" s="105"/>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c r="AJ175" s="105"/>
      <c r="AK175" s="105"/>
      <c r="AL175" s="105"/>
      <c r="AM175" s="105"/>
      <c r="AN175" s="105"/>
      <c r="AO175" s="105"/>
      <c r="AP175" s="105"/>
      <c r="AQ175" s="105"/>
      <c r="AR175" s="105"/>
      <c r="AS175" s="105"/>
      <c r="AT175" s="105"/>
      <c r="AU175" s="105"/>
      <c r="AV175" s="105"/>
      <c r="AW175" s="48"/>
    </row>
    <row r="176" spans="2:49" s="47" customFormat="1" ht="3.95" customHeight="1" x14ac:dyDescent="0.25">
      <c r="B176" s="51"/>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48"/>
    </row>
    <row r="177" spans="2:49" ht="3" customHeight="1" x14ac:dyDescent="0.25">
      <c r="B177" s="10"/>
      <c r="AW177" s="8"/>
    </row>
    <row r="178" spans="2:49" ht="17.100000000000001" customHeight="1" x14ac:dyDescent="0.25">
      <c r="B178" s="10" t="s">
        <v>152</v>
      </c>
      <c r="AW178" s="8"/>
    </row>
    <row r="179" spans="2:49" ht="3" customHeight="1" x14ac:dyDescent="0.25">
      <c r="B179" s="1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2"/>
    </row>
    <row r="180" spans="2:49" ht="3" customHeight="1" x14ac:dyDescent="0.25"/>
    <row r="181" spans="2:49" x14ac:dyDescent="0.25">
      <c r="B181" s="245" t="s">
        <v>310</v>
      </c>
      <c r="C181" s="245"/>
      <c r="D181" s="245"/>
      <c r="E181" s="245"/>
      <c r="F181" s="245"/>
      <c r="G181" s="245"/>
      <c r="H181" s="245"/>
      <c r="I181" s="245"/>
      <c r="J181" s="245"/>
      <c r="K181" s="245"/>
      <c r="L181" s="245"/>
      <c r="M181" s="245"/>
      <c r="N181" s="245"/>
      <c r="O181" s="245"/>
      <c r="P181" s="245"/>
      <c r="Q181" s="245"/>
      <c r="R181" s="245"/>
      <c r="S181" s="245"/>
      <c r="T181" s="245"/>
      <c r="U181" s="245"/>
      <c r="V181" s="245"/>
      <c r="W181" s="245"/>
      <c r="X181" s="245"/>
      <c r="Y181" s="245"/>
      <c r="Z181" s="245"/>
      <c r="AA181" s="245"/>
      <c r="AB181" s="245"/>
      <c r="AC181" s="245"/>
      <c r="AD181" s="245"/>
      <c r="AE181" s="245"/>
      <c r="AF181" s="245"/>
      <c r="AG181" s="245"/>
      <c r="AH181" s="245"/>
      <c r="AI181" s="245"/>
      <c r="AJ181" s="245"/>
      <c r="AK181" s="245"/>
      <c r="AL181" s="245"/>
      <c r="AM181" s="245"/>
      <c r="AN181" s="245"/>
      <c r="AO181" s="245"/>
      <c r="AP181" s="245"/>
      <c r="AQ181" s="245"/>
      <c r="AR181" s="245"/>
      <c r="AS181" s="245"/>
      <c r="AT181" s="245"/>
      <c r="AU181" s="245"/>
      <c r="AV181" s="245"/>
      <c r="AW181" s="245"/>
    </row>
    <row r="182" spans="2:49" ht="3.75" customHeight="1" x14ac:dyDescent="0.25">
      <c r="B182" s="10"/>
      <c r="AW182" s="8"/>
    </row>
    <row r="183" spans="2:49" ht="15" customHeight="1" x14ac:dyDescent="0.25">
      <c r="B183" s="116" t="s">
        <v>133</v>
      </c>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8"/>
      <c r="AB183" s="13" t="s">
        <v>130</v>
      </c>
      <c r="AC183" s="14"/>
      <c r="AD183" s="14"/>
      <c r="AE183" s="14"/>
      <c r="AF183" s="14"/>
      <c r="AG183" s="14"/>
      <c r="AH183" s="14"/>
      <c r="AI183" s="14"/>
      <c r="AJ183" s="14"/>
      <c r="AK183" s="14"/>
      <c r="AL183" s="14"/>
      <c r="AM183" s="14"/>
      <c r="AN183" s="14"/>
      <c r="AO183" s="14"/>
      <c r="AP183" s="14"/>
      <c r="AQ183" s="14"/>
      <c r="AR183" s="14"/>
      <c r="AS183" s="14"/>
      <c r="AT183" s="14"/>
      <c r="AU183" s="14"/>
      <c r="AV183" s="14"/>
      <c r="AW183" s="15"/>
    </row>
    <row r="184" spans="2:49" ht="20.25" customHeight="1" x14ac:dyDescent="0.25">
      <c r="B184" s="110" t="s">
        <v>132</v>
      </c>
      <c r="C184" s="111"/>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c r="AA184" s="112"/>
      <c r="AB184" s="45" t="s">
        <v>131</v>
      </c>
      <c r="AC184" s="1"/>
      <c r="AD184" s="1"/>
      <c r="AE184" s="1"/>
      <c r="AF184" s="1"/>
      <c r="AG184" s="1"/>
      <c r="AH184" s="1"/>
      <c r="AI184" s="1"/>
      <c r="AJ184" s="1"/>
      <c r="AK184" s="1"/>
      <c r="AL184" s="1"/>
      <c r="AM184" s="1"/>
      <c r="AN184" s="1"/>
      <c r="AO184" s="1"/>
      <c r="AP184" s="1"/>
      <c r="AQ184" s="1"/>
      <c r="AR184" s="1"/>
      <c r="AS184" s="1"/>
      <c r="AT184" s="1"/>
      <c r="AU184" s="1"/>
      <c r="AV184" s="1"/>
      <c r="AW184" s="12"/>
    </row>
    <row r="185" spans="2:49" ht="15" customHeight="1" x14ac:dyDescent="0.25">
      <c r="B185" s="108" t="s">
        <v>134</v>
      </c>
      <c r="C185" s="109"/>
      <c r="D185" s="109"/>
      <c r="E185" s="109"/>
      <c r="F185" s="109"/>
      <c r="G185" s="109"/>
      <c r="H185" s="109"/>
      <c r="I185" s="109"/>
      <c r="J185" s="109"/>
      <c r="K185" s="109"/>
      <c r="L185" s="109"/>
      <c r="M185" s="109"/>
      <c r="N185" s="109"/>
      <c r="O185" s="109"/>
      <c r="P185" s="109"/>
      <c r="Q185" s="109"/>
      <c r="R185" s="109"/>
      <c r="S185" s="109"/>
      <c r="T185" s="109"/>
      <c r="U185" s="109"/>
      <c r="V185" s="109"/>
      <c r="W185" s="109"/>
      <c r="X185" s="109"/>
      <c r="Y185" s="109"/>
      <c r="Z185" s="109"/>
      <c r="AA185" s="109"/>
      <c r="AB185" s="106" t="s">
        <v>135</v>
      </c>
      <c r="AC185" s="106"/>
      <c r="AD185" s="106"/>
      <c r="AE185" s="106"/>
      <c r="AF185" s="106"/>
      <c r="AG185" s="106"/>
      <c r="AH185" s="106"/>
      <c r="AI185" s="106"/>
      <c r="AJ185" s="106"/>
      <c r="AK185" s="106"/>
      <c r="AL185" s="106"/>
      <c r="AM185" s="106"/>
      <c r="AN185" s="106"/>
      <c r="AO185" s="106"/>
      <c r="AP185" s="106"/>
      <c r="AQ185" s="106"/>
      <c r="AR185" s="106"/>
      <c r="AS185" s="106"/>
      <c r="AT185" s="106"/>
      <c r="AU185" s="106"/>
      <c r="AV185" s="106"/>
      <c r="AW185" s="107"/>
    </row>
    <row r="186" spans="2:49" ht="3" customHeight="1" x14ac:dyDescent="0.25">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row>
    <row r="187" spans="2:49" ht="15" customHeight="1" x14ac:dyDescent="0.25">
      <c r="B187" s="152" t="s">
        <v>307</v>
      </c>
      <c r="C187" s="153"/>
      <c r="D187" s="153"/>
      <c r="E187" s="153"/>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4"/>
    </row>
    <row r="188" spans="2:49" ht="3" customHeight="1" x14ac:dyDescent="0.25">
      <c r="B188" s="10"/>
      <c r="E188" s="31"/>
      <c r="AW188" s="8"/>
    </row>
    <row r="189" spans="2:49" ht="15" customHeight="1" thickBot="1" x14ac:dyDescent="0.3">
      <c r="B189" s="70"/>
      <c r="E189" s="105" t="str">
        <f>IF(Grupo="A",Dados!B64,Dados!B63)</f>
        <v>8.1 - O padrão está pronto para ser ligado e a usina está instalada?</v>
      </c>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71"/>
      <c r="AG189" s="71"/>
      <c r="AH189" s="71"/>
      <c r="AI189" s="71"/>
      <c r="AJ189" s="71"/>
      <c r="AK189" s="71"/>
      <c r="AL189" s="71"/>
      <c r="AM189" s="71"/>
      <c r="AN189" s="71"/>
      <c r="AO189" s="71"/>
      <c r="AP189" s="71"/>
      <c r="AQ189" s="71"/>
      <c r="AR189" s="71"/>
      <c r="AS189" s="71"/>
      <c r="AT189" s="71"/>
      <c r="AU189" s="71"/>
      <c r="AV189" s="71"/>
      <c r="AW189" s="48"/>
    </row>
    <row r="190" spans="2:49" ht="15" customHeight="1" x14ac:dyDescent="0.25">
      <c r="B190" s="70"/>
      <c r="C190" s="91"/>
      <c r="D190" s="71"/>
      <c r="E190" s="105"/>
      <c r="F190" s="105"/>
      <c r="G190" s="105"/>
      <c r="H190" s="105"/>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2" t="s">
        <v>222</v>
      </c>
      <c r="AG190" s="103"/>
      <c r="AH190" s="71"/>
      <c r="AI190" s="71"/>
      <c r="AJ190" s="71"/>
      <c r="AK190" s="71"/>
      <c r="AL190" s="71"/>
      <c r="AM190" s="71"/>
      <c r="AN190" s="71"/>
      <c r="AO190" s="71"/>
      <c r="AP190" s="71"/>
      <c r="AQ190" s="71"/>
      <c r="AR190" s="71"/>
      <c r="AS190" s="71"/>
      <c r="AV190" s="71"/>
      <c r="AW190" s="48"/>
    </row>
    <row r="191" spans="2:49" ht="15" customHeight="1" x14ac:dyDescent="0.25">
      <c r="B191" s="70"/>
      <c r="C191" s="91"/>
      <c r="D191" s="71"/>
      <c r="E191" s="158" t="str">
        <f>IF(AF190="Não",Dados!B60,Dados!B61)</f>
        <v>Para a resposta do item 8.1 = 'Não', você deve solicitar seu pedido de vistoria e ligação em até 120 dias após a conclusão das etapas do orçamento de conexão</v>
      </c>
      <c r="F191" s="158"/>
      <c r="G191" s="158"/>
      <c r="H191" s="158"/>
      <c r="I191" s="158"/>
      <c r="J191" s="158"/>
      <c r="K191" s="158"/>
      <c r="L191" s="158"/>
      <c r="M191" s="158"/>
      <c r="N191" s="158"/>
      <c r="O191" s="158"/>
      <c r="P191" s="158"/>
      <c r="Q191" s="158"/>
      <c r="R191" s="158"/>
      <c r="S191" s="158"/>
      <c r="T191" s="158"/>
      <c r="U191" s="158"/>
      <c r="V191" s="158"/>
      <c r="W191" s="158"/>
      <c r="X191" s="158"/>
      <c r="Y191" s="158"/>
      <c r="Z191" s="158"/>
      <c r="AA191" s="158"/>
      <c r="AB191" s="158"/>
      <c r="AC191" s="158"/>
      <c r="AD191" s="158"/>
      <c r="AE191" s="158"/>
      <c r="AF191" s="158"/>
      <c r="AG191" s="158"/>
      <c r="AH191" s="158"/>
      <c r="AI191" s="158"/>
      <c r="AJ191" s="158"/>
      <c r="AK191" s="158"/>
      <c r="AL191" s="158"/>
      <c r="AM191" s="158"/>
      <c r="AN191" s="158"/>
      <c r="AO191" s="158"/>
      <c r="AP191" s="158"/>
      <c r="AQ191" s="158"/>
      <c r="AR191" s="158"/>
      <c r="AS191" s="158"/>
      <c r="AT191" s="158"/>
      <c r="AU191" s="158"/>
      <c r="AV191" s="158"/>
      <c r="AW191" s="48"/>
    </row>
    <row r="192" spans="2:49" ht="15" customHeight="1" x14ac:dyDescent="0.25">
      <c r="B192" s="70"/>
      <c r="C192" s="91"/>
      <c r="D192" s="71"/>
      <c r="E192" s="158"/>
      <c r="F192" s="158"/>
      <c r="G192" s="158"/>
      <c r="H192" s="158"/>
      <c r="I192" s="158"/>
      <c r="J192" s="158"/>
      <c r="K192" s="158"/>
      <c r="L192" s="158"/>
      <c r="M192" s="158"/>
      <c r="N192" s="158"/>
      <c r="O192" s="158"/>
      <c r="P192" s="158"/>
      <c r="Q192" s="158"/>
      <c r="R192" s="158"/>
      <c r="S192" s="158"/>
      <c r="T192" s="158"/>
      <c r="U192" s="158"/>
      <c r="V192" s="158"/>
      <c r="W192" s="158"/>
      <c r="X192" s="158"/>
      <c r="Y192" s="158"/>
      <c r="Z192" s="158"/>
      <c r="AA192" s="158"/>
      <c r="AB192" s="158"/>
      <c r="AC192" s="158"/>
      <c r="AD192" s="158"/>
      <c r="AE192" s="158"/>
      <c r="AF192" s="158"/>
      <c r="AG192" s="158"/>
      <c r="AH192" s="158"/>
      <c r="AI192" s="158"/>
      <c r="AJ192" s="158"/>
      <c r="AK192" s="158"/>
      <c r="AL192" s="158"/>
      <c r="AM192" s="158"/>
      <c r="AN192" s="158"/>
      <c r="AO192" s="158"/>
      <c r="AP192" s="158"/>
      <c r="AQ192" s="158"/>
      <c r="AR192" s="158"/>
      <c r="AS192" s="158"/>
      <c r="AT192" s="158"/>
      <c r="AU192" s="158"/>
      <c r="AV192" s="158"/>
      <c r="AW192" s="48"/>
    </row>
    <row r="193" spans="2:49" ht="15" customHeight="1" x14ac:dyDescent="0.25">
      <c r="B193" s="46"/>
      <c r="C193" s="47"/>
      <c r="D193" s="47"/>
      <c r="E193" s="158"/>
      <c r="F193" s="158"/>
      <c r="G193" s="158"/>
      <c r="H193" s="158"/>
      <c r="I193" s="158"/>
      <c r="J193" s="158"/>
      <c r="K193" s="158"/>
      <c r="L193" s="158"/>
      <c r="M193" s="158"/>
      <c r="N193" s="158"/>
      <c r="O193" s="158"/>
      <c r="P193" s="158"/>
      <c r="Q193" s="158"/>
      <c r="R193" s="158"/>
      <c r="S193" s="158"/>
      <c r="T193" s="158"/>
      <c r="U193" s="158"/>
      <c r="V193" s="158"/>
      <c r="W193" s="158"/>
      <c r="X193" s="158"/>
      <c r="Y193" s="158"/>
      <c r="Z193" s="158"/>
      <c r="AA193" s="158"/>
      <c r="AB193" s="158"/>
      <c r="AC193" s="158"/>
      <c r="AD193" s="158"/>
      <c r="AE193" s="158"/>
      <c r="AF193" s="158"/>
      <c r="AG193" s="158"/>
      <c r="AH193" s="158"/>
      <c r="AI193" s="158"/>
      <c r="AJ193" s="158"/>
      <c r="AK193" s="158"/>
      <c r="AL193" s="158"/>
      <c r="AM193" s="158"/>
      <c r="AN193" s="158"/>
      <c r="AO193" s="158"/>
      <c r="AP193" s="158"/>
      <c r="AQ193" s="158"/>
      <c r="AR193" s="158"/>
      <c r="AS193" s="158"/>
      <c r="AT193" s="158"/>
      <c r="AU193" s="158"/>
      <c r="AV193" s="158"/>
      <c r="AW193" s="48"/>
    </row>
    <row r="194" spans="2:49" ht="3" customHeight="1" thickBot="1" x14ac:dyDescent="0.3">
      <c r="B194" s="46"/>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8"/>
    </row>
    <row r="195" spans="2:49" ht="15" customHeight="1" thickBot="1" x14ac:dyDescent="0.3">
      <c r="B195" s="86"/>
      <c r="C195" s="96"/>
      <c r="D195" s="87"/>
      <c r="E195" s="247" t="s">
        <v>351</v>
      </c>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48"/>
    </row>
    <row r="196" spans="2:49" ht="15" customHeight="1" x14ac:dyDescent="0.25">
      <c r="B196" s="86"/>
      <c r="C196" s="87"/>
      <c r="D196" s="8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48"/>
    </row>
    <row r="197" spans="2:49" ht="3" customHeight="1" thickBot="1" x14ac:dyDescent="0.3">
      <c r="B197" s="86"/>
      <c r="C197" s="87"/>
      <c r="D197" s="87"/>
      <c r="E197" s="87"/>
      <c r="F197" s="87"/>
      <c r="G197" s="87"/>
      <c r="H197" s="87"/>
      <c r="I197" s="87"/>
      <c r="J197" s="87"/>
      <c r="K197" s="87"/>
      <c r="L197" s="87"/>
      <c r="M197" s="87"/>
      <c r="N197" s="87"/>
      <c r="O197" s="87"/>
      <c r="P197" s="87"/>
      <c r="Q197" s="87"/>
      <c r="R197" s="87"/>
      <c r="S197" s="87"/>
      <c r="T197" s="87"/>
      <c r="U197" s="87"/>
      <c r="V197" s="87"/>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48"/>
    </row>
    <row r="198" spans="2:49" ht="15" customHeight="1" thickBot="1" x14ac:dyDescent="0.3">
      <c r="B198" s="49"/>
      <c r="C198" s="96"/>
      <c r="D198" s="50"/>
      <c r="E198" s="114" t="s">
        <v>308</v>
      </c>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4"/>
      <c r="AL198" s="114"/>
      <c r="AM198" s="114"/>
      <c r="AN198" s="114"/>
      <c r="AO198" s="114"/>
      <c r="AP198" s="114"/>
      <c r="AQ198" s="114"/>
      <c r="AR198" s="114"/>
      <c r="AS198" s="114"/>
      <c r="AT198" s="114"/>
      <c r="AU198" s="114"/>
      <c r="AV198" s="114"/>
      <c r="AW198" s="48"/>
    </row>
    <row r="199" spans="2:49" ht="15" customHeight="1" x14ac:dyDescent="0.25">
      <c r="B199" s="86"/>
      <c r="C199" s="87"/>
      <c r="D199" s="87"/>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4"/>
      <c r="AO199" s="114"/>
      <c r="AP199" s="114"/>
      <c r="AQ199" s="114"/>
      <c r="AR199" s="114"/>
      <c r="AS199" s="114"/>
      <c r="AT199" s="114"/>
      <c r="AU199" s="114"/>
      <c r="AV199" s="114"/>
      <c r="AW199" s="48"/>
    </row>
    <row r="200" spans="2:49" ht="3" customHeight="1" thickBot="1" x14ac:dyDescent="0.3">
      <c r="B200" s="49"/>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c r="AA200" s="50"/>
      <c r="AB200" s="50"/>
      <c r="AC200" s="50"/>
      <c r="AD200" s="50"/>
      <c r="AE200" s="50"/>
      <c r="AF200" s="50"/>
      <c r="AG200" s="50"/>
      <c r="AH200" s="50"/>
      <c r="AI200" s="50"/>
      <c r="AJ200" s="50"/>
      <c r="AK200" s="50"/>
      <c r="AL200" s="50"/>
      <c r="AM200" s="50"/>
      <c r="AN200" s="50"/>
      <c r="AO200" s="50"/>
      <c r="AP200" s="50"/>
      <c r="AQ200" s="50"/>
      <c r="AR200" s="50"/>
      <c r="AS200" s="50"/>
      <c r="AT200" s="50"/>
      <c r="AU200" s="50"/>
      <c r="AV200" s="50"/>
      <c r="AW200" s="48"/>
    </row>
    <row r="201" spans="2:49" ht="15" customHeight="1" thickBot="1" x14ac:dyDescent="0.3">
      <c r="B201" s="70"/>
      <c r="C201" s="85" t="s">
        <v>309</v>
      </c>
      <c r="D201" s="71"/>
      <c r="E201" s="105" t="s">
        <v>352</v>
      </c>
      <c r="F201" s="105"/>
      <c r="G201" s="105"/>
      <c r="H201" s="105"/>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c r="AJ201" s="105"/>
      <c r="AK201" s="105"/>
      <c r="AL201" s="105"/>
      <c r="AM201" s="105"/>
      <c r="AN201" s="105"/>
      <c r="AO201" s="105"/>
      <c r="AP201" s="105"/>
      <c r="AQ201" s="105"/>
      <c r="AR201" s="105"/>
      <c r="AS201" s="105"/>
      <c r="AT201" s="105"/>
      <c r="AU201" s="105"/>
      <c r="AV201" s="105"/>
      <c r="AW201" s="48"/>
    </row>
    <row r="202" spans="2:49" ht="15" customHeight="1" x14ac:dyDescent="0.25">
      <c r="B202" s="10"/>
      <c r="E202" s="105"/>
      <c r="F202" s="105"/>
      <c r="G202" s="105"/>
      <c r="H202" s="105"/>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c r="AJ202" s="105"/>
      <c r="AK202" s="105"/>
      <c r="AL202" s="105"/>
      <c r="AM202" s="105"/>
      <c r="AN202" s="105"/>
      <c r="AO202" s="105"/>
      <c r="AP202" s="105"/>
      <c r="AQ202" s="105"/>
      <c r="AR202" s="105"/>
      <c r="AS202" s="105"/>
      <c r="AT202" s="105"/>
      <c r="AU202" s="105"/>
      <c r="AV202" s="105"/>
      <c r="AW202" s="8"/>
    </row>
    <row r="203" spans="2:49" ht="15" customHeight="1" x14ac:dyDescent="0.25">
      <c r="B203" s="10"/>
      <c r="E203" s="105"/>
      <c r="F203" s="105"/>
      <c r="G203" s="105"/>
      <c r="H203" s="105"/>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c r="AJ203" s="105"/>
      <c r="AK203" s="105"/>
      <c r="AL203" s="105"/>
      <c r="AM203" s="105"/>
      <c r="AN203" s="105"/>
      <c r="AO203" s="105"/>
      <c r="AP203" s="105"/>
      <c r="AQ203" s="105"/>
      <c r="AR203" s="105"/>
      <c r="AS203" s="105"/>
      <c r="AT203" s="105"/>
      <c r="AU203" s="105"/>
      <c r="AV203" s="105"/>
      <c r="AW203" s="8"/>
    </row>
    <row r="204" spans="2:49" ht="3" customHeight="1" x14ac:dyDescent="0.25">
      <c r="B204" s="10"/>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8"/>
    </row>
    <row r="205" spans="2:49" ht="15" customHeight="1" thickBot="1" x14ac:dyDescent="0.3">
      <c r="B205" s="10"/>
      <c r="E205" s="105" t="s">
        <v>403</v>
      </c>
      <c r="F205" s="105"/>
      <c r="G205" s="105"/>
      <c r="H205" s="105"/>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c r="AJ205" s="105"/>
      <c r="AK205" s="105"/>
      <c r="AL205" s="105"/>
      <c r="AM205" s="105"/>
      <c r="AN205" s="105"/>
      <c r="AO205" s="105"/>
      <c r="AP205" s="105"/>
      <c r="AQ205" s="105"/>
      <c r="AR205" s="105"/>
      <c r="AS205" s="105"/>
      <c r="AT205" s="105"/>
      <c r="AU205" s="105"/>
      <c r="AV205" s="105"/>
      <c r="AW205" s="8"/>
    </row>
    <row r="206" spans="2:49" ht="15" customHeight="1" thickBot="1" x14ac:dyDescent="0.3">
      <c r="B206" s="10"/>
      <c r="C206" s="85" t="str">
        <f>IF(O14=Dados!V5,"X","")</f>
        <v/>
      </c>
      <c r="E206" s="105" t="s">
        <v>404</v>
      </c>
      <c r="F206" s="105"/>
      <c r="G206" s="105"/>
      <c r="H206" s="105"/>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c r="AJ206" s="105"/>
      <c r="AK206" s="105"/>
      <c r="AL206" s="105"/>
      <c r="AM206" s="105"/>
      <c r="AN206" s="105"/>
      <c r="AO206" s="105"/>
      <c r="AP206" s="105"/>
      <c r="AQ206" s="105"/>
      <c r="AR206" s="105"/>
      <c r="AS206" s="105"/>
      <c r="AT206" s="105"/>
      <c r="AU206" s="105"/>
      <c r="AV206" s="105"/>
      <c r="AW206" s="8"/>
    </row>
    <row r="207" spans="2:49" ht="3" customHeight="1" thickBot="1" x14ac:dyDescent="0.3">
      <c r="B207" s="10"/>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8"/>
    </row>
    <row r="208" spans="2:49" ht="15" customHeight="1" thickBot="1" x14ac:dyDescent="0.3">
      <c r="B208" s="10"/>
      <c r="C208" s="96"/>
      <c r="E208" s="234" t="s">
        <v>405</v>
      </c>
      <c r="F208" s="234"/>
      <c r="G208" s="234"/>
      <c r="H208" s="234"/>
      <c r="I208" s="234"/>
      <c r="J208" s="234"/>
      <c r="K208" s="234"/>
      <c r="L208" s="234"/>
      <c r="M208" s="234"/>
      <c r="N208" s="234"/>
      <c r="O208" s="234"/>
      <c r="P208" s="234"/>
      <c r="Q208" s="234"/>
      <c r="R208" s="234"/>
      <c r="S208" s="234"/>
      <c r="T208" s="234"/>
      <c r="U208" s="234"/>
      <c r="V208" s="234"/>
      <c r="W208" s="234"/>
      <c r="X208" s="234"/>
      <c r="Y208" s="234"/>
      <c r="Z208" s="234"/>
      <c r="AA208" s="234"/>
      <c r="AB208" s="234"/>
      <c r="AC208" s="234"/>
      <c r="AD208" s="234"/>
      <c r="AE208" s="234"/>
      <c r="AF208" s="234"/>
      <c r="AG208" s="234"/>
      <c r="AH208" s="234"/>
      <c r="AI208" s="234"/>
      <c r="AJ208" s="234"/>
      <c r="AK208" s="234"/>
      <c r="AL208" s="234"/>
      <c r="AM208" s="234"/>
      <c r="AN208" s="234"/>
      <c r="AO208" s="234"/>
      <c r="AP208" s="234"/>
      <c r="AQ208" s="234"/>
      <c r="AR208" s="234"/>
      <c r="AS208" s="234"/>
      <c r="AT208" s="234"/>
      <c r="AU208" s="234"/>
      <c r="AV208" s="234"/>
      <c r="AW208" s="8"/>
    </row>
    <row r="209" spans="2:49" ht="15" customHeight="1" x14ac:dyDescent="0.25">
      <c r="B209" s="10"/>
      <c r="C209" s="101"/>
      <c r="E209" s="234"/>
      <c r="F209" s="234"/>
      <c r="G209" s="234"/>
      <c r="H209" s="234"/>
      <c r="I209" s="234"/>
      <c r="J209" s="234"/>
      <c r="K209" s="234"/>
      <c r="L209" s="234"/>
      <c r="M209" s="234"/>
      <c r="N209" s="234"/>
      <c r="O209" s="234"/>
      <c r="P209" s="234"/>
      <c r="Q209" s="234"/>
      <c r="R209" s="234"/>
      <c r="S209" s="234"/>
      <c r="T209" s="234"/>
      <c r="U209" s="234"/>
      <c r="V209" s="234"/>
      <c r="W209" s="234"/>
      <c r="X209" s="234"/>
      <c r="Y209" s="234"/>
      <c r="Z209" s="234"/>
      <c r="AA209" s="234"/>
      <c r="AB209" s="234"/>
      <c r="AC209" s="234"/>
      <c r="AD209" s="234"/>
      <c r="AE209" s="234"/>
      <c r="AF209" s="234"/>
      <c r="AG209" s="234"/>
      <c r="AH209" s="234"/>
      <c r="AI209" s="234"/>
      <c r="AJ209" s="234"/>
      <c r="AK209" s="234"/>
      <c r="AL209" s="234"/>
      <c r="AM209" s="234"/>
      <c r="AN209" s="234"/>
      <c r="AO209" s="234"/>
      <c r="AP209" s="234"/>
      <c r="AQ209" s="234"/>
      <c r="AR209" s="234"/>
      <c r="AS209" s="234"/>
      <c r="AT209" s="234"/>
      <c r="AU209" s="234"/>
      <c r="AV209" s="234"/>
      <c r="AW209" s="8"/>
    </row>
    <row r="210" spans="2:49" ht="3" customHeight="1" thickBot="1" x14ac:dyDescent="0.3">
      <c r="B210" s="10"/>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8"/>
    </row>
    <row r="211" spans="2:49" ht="15" customHeight="1" thickBot="1" x14ac:dyDescent="0.3">
      <c r="B211" s="10"/>
      <c r="C211" s="85" t="str">
        <f>IF(AL12=Dados!V5,"X","")</f>
        <v/>
      </c>
      <c r="E211" t="s">
        <v>391</v>
      </c>
      <c r="AW211" s="8"/>
    </row>
    <row r="212" spans="2:49" ht="3" customHeight="1" x14ac:dyDescent="0.25">
      <c r="B212" s="10"/>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8"/>
    </row>
    <row r="213" spans="2:49" ht="3" customHeight="1" x14ac:dyDescent="0.25">
      <c r="B213" s="10"/>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8"/>
    </row>
    <row r="214" spans="2:49" ht="3" customHeight="1" thickBot="1" x14ac:dyDescent="0.3">
      <c r="B214" s="10"/>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8"/>
    </row>
    <row r="215" spans="2:49" ht="15" customHeight="1" thickBot="1" x14ac:dyDescent="0.3">
      <c r="B215" s="10"/>
      <c r="C215" s="85" t="s">
        <v>309</v>
      </c>
      <c r="E215" s="105" t="s">
        <v>379</v>
      </c>
      <c r="F215" s="105"/>
      <c r="G215" s="105"/>
      <c r="H215" s="105"/>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c r="AJ215" s="105"/>
      <c r="AK215" s="105"/>
      <c r="AL215" s="105"/>
      <c r="AM215" s="105"/>
      <c r="AN215" s="105"/>
      <c r="AO215" s="105"/>
      <c r="AP215" s="105"/>
      <c r="AQ215" s="105"/>
      <c r="AR215" s="105"/>
      <c r="AS215" s="105"/>
      <c r="AT215" s="105"/>
      <c r="AU215" s="105"/>
      <c r="AV215" s="105"/>
      <c r="AW215" s="8"/>
    </row>
    <row r="216" spans="2:49" ht="3" customHeight="1" x14ac:dyDescent="0.25">
      <c r="B216" s="74"/>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c r="AB216" s="88"/>
      <c r="AC216" s="88"/>
      <c r="AD216" s="88"/>
      <c r="AE216" s="88"/>
      <c r="AF216" s="88"/>
      <c r="AG216" s="88"/>
      <c r="AH216" s="88"/>
      <c r="AI216" s="88"/>
      <c r="AJ216" s="88"/>
      <c r="AK216" s="88"/>
      <c r="AL216" s="88"/>
      <c r="AM216" s="88"/>
      <c r="AN216" s="88"/>
      <c r="AO216" s="88"/>
      <c r="AP216" s="88"/>
      <c r="AQ216" s="88"/>
      <c r="AR216" s="88"/>
      <c r="AS216" s="88"/>
      <c r="AT216" s="88"/>
      <c r="AU216" s="88"/>
      <c r="AV216" s="88"/>
      <c r="AW216" s="89"/>
    </row>
    <row r="217" spans="2:49" ht="3" customHeight="1" x14ac:dyDescent="0.25"/>
    <row r="218" spans="2:49" x14ac:dyDescent="0.25">
      <c r="B218" s="245" t="s">
        <v>311</v>
      </c>
      <c r="C218" s="245"/>
      <c r="D218" s="245"/>
      <c r="E218" s="245"/>
      <c r="F218" s="245"/>
      <c r="G218" s="245"/>
      <c r="H218" s="245"/>
      <c r="I218" s="245"/>
      <c r="J218" s="245"/>
      <c r="K218" s="245"/>
      <c r="L218" s="245"/>
      <c r="M218" s="245"/>
      <c r="N218" s="245"/>
      <c r="O218" s="245"/>
      <c r="P218" s="245"/>
      <c r="Q218" s="245"/>
      <c r="R218" s="245"/>
      <c r="S218" s="245"/>
      <c r="T218" s="245"/>
      <c r="U218" s="245"/>
      <c r="V218" s="245"/>
      <c r="W218" s="245"/>
      <c r="X218" s="245"/>
      <c r="Y218" s="245"/>
      <c r="Z218" s="245"/>
      <c r="AA218" s="245"/>
      <c r="AB218" s="245"/>
      <c r="AC218" s="245"/>
      <c r="AD218" s="245"/>
      <c r="AE218" s="245"/>
      <c r="AF218" s="245"/>
      <c r="AG218" s="245"/>
      <c r="AH218" s="245"/>
      <c r="AI218" s="245"/>
      <c r="AJ218" s="245"/>
      <c r="AK218" s="245"/>
      <c r="AL218" s="245"/>
      <c r="AM218" s="245"/>
      <c r="AN218" s="245"/>
      <c r="AO218" s="245"/>
      <c r="AP218" s="245"/>
      <c r="AQ218" s="245"/>
      <c r="AR218" s="245"/>
      <c r="AS218" s="245"/>
      <c r="AT218" s="245"/>
      <c r="AU218" s="245"/>
      <c r="AV218" s="245"/>
      <c r="AW218" s="245"/>
    </row>
    <row r="219" spans="2:49" ht="3.75" customHeight="1" thickBot="1" x14ac:dyDescent="0.3">
      <c r="B219" s="10"/>
      <c r="AW219" s="8"/>
    </row>
    <row r="220" spans="2:49" x14ac:dyDescent="0.25">
      <c r="B220" s="10" t="s">
        <v>211</v>
      </c>
      <c r="O220" s="62"/>
      <c r="P220" s="62"/>
      <c r="Q220" s="129"/>
      <c r="R220" s="130"/>
      <c r="S220" s="130"/>
      <c r="T220" s="130"/>
      <c r="U220" s="130"/>
      <c r="V220" s="130"/>
      <c r="W220" s="130"/>
      <c r="X220" s="130"/>
      <c r="Y220" s="130"/>
      <c r="Z220" s="130"/>
      <c r="AA220" s="130"/>
      <c r="AB220" s="130"/>
      <c r="AC220" s="130"/>
      <c r="AD220" s="130"/>
      <c r="AE220" s="130"/>
      <c r="AF220" s="130"/>
      <c r="AG220" s="130"/>
      <c r="AH220" s="130"/>
      <c r="AI220" s="130"/>
      <c r="AJ220" s="130"/>
      <c r="AK220" s="130"/>
      <c r="AL220" s="130"/>
      <c r="AM220" s="130"/>
      <c r="AN220" s="130"/>
      <c r="AO220" s="130"/>
      <c r="AP220" s="130"/>
      <c r="AQ220" s="130"/>
      <c r="AR220" s="130"/>
      <c r="AS220" s="130"/>
      <c r="AT220" s="130"/>
      <c r="AU220" s="130"/>
      <c r="AV220" s="131"/>
      <c r="AW220" s="8"/>
    </row>
    <row r="221" spans="2:49" ht="3" customHeight="1" thickBot="1" x14ac:dyDescent="0.3">
      <c r="B221" s="10"/>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8"/>
    </row>
    <row r="222" spans="2:49" x14ac:dyDescent="0.25">
      <c r="B222" s="243" t="s">
        <v>209</v>
      </c>
      <c r="C222" s="244"/>
      <c r="D222" s="244"/>
      <c r="E222" s="244"/>
      <c r="F222" s="244"/>
      <c r="G222" s="244"/>
      <c r="H222" s="244"/>
      <c r="I222" s="244"/>
      <c r="J222" s="244"/>
      <c r="K222" s="244"/>
      <c r="L222" s="244"/>
      <c r="M222" s="244"/>
      <c r="N222" s="244"/>
      <c r="O222" s="129"/>
      <c r="P222" s="130"/>
      <c r="Q222" s="130"/>
      <c r="R222" s="130"/>
      <c r="S222" s="130"/>
      <c r="T222" s="130"/>
      <c r="U222" s="130"/>
      <c r="V222" s="130"/>
      <c r="W222" s="130"/>
      <c r="X222" s="130"/>
      <c r="Y222" s="130"/>
      <c r="Z222" s="130"/>
      <c r="AA222" s="130"/>
      <c r="AB222" s="130"/>
      <c r="AC222" s="130"/>
      <c r="AD222" s="130"/>
      <c r="AE222" s="130"/>
      <c r="AF222" s="130"/>
      <c r="AG222" s="130"/>
      <c r="AH222" s="130"/>
      <c r="AI222" s="130"/>
      <c r="AJ222" s="130"/>
      <c r="AK222" s="130"/>
      <c r="AL222" s="130"/>
      <c r="AM222" s="130"/>
      <c r="AN222" s="130"/>
      <c r="AO222" s="130"/>
      <c r="AP222" s="130"/>
      <c r="AQ222" s="130"/>
      <c r="AR222" s="130"/>
      <c r="AS222" s="130"/>
      <c r="AT222" s="130"/>
      <c r="AU222" s="130"/>
      <c r="AV222" s="131"/>
      <c r="AW222" s="8"/>
    </row>
    <row r="223" spans="2:49" ht="3" customHeight="1" thickBot="1" x14ac:dyDescent="0.3">
      <c r="B223" s="243"/>
      <c r="C223" s="244"/>
      <c r="D223" s="244"/>
      <c r="E223" s="244"/>
      <c r="F223" s="244"/>
      <c r="G223" s="244"/>
      <c r="H223" s="244"/>
      <c r="I223" s="244"/>
      <c r="J223" s="244"/>
      <c r="K223" s="244"/>
      <c r="L223" s="244"/>
      <c r="M223" s="244"/>
      <c r="N223" s="244"/>
      <c r="O223" s="33"/>
      <c r="P223" s="33"/>
      <c r="Q223" s="33"/>
      <c r="R223" s="33"/>
      <c r="S223" s="33"/>
      <c r="T223" s="33"/>
      <c r="U223" s="33"/>
      <c r="V223" s="33"/>
      <c r="W223" s="33"/>
      <c r="X223" s="33"/>
      <c r="Y223" s="33"/>
      <c r="Z223" s="33"/>
      <c r="AA223" s="33"/>
      <c r="AB223" s="33"/>
      <c r="AC223" s="33"/>
      <c r="AD223" s="33"/>
      <c r="AE223" s="33"/>
      <c r="AF223" s="33"/>
      <c r="AG223" s="33"/>
      <c r="AH223" s="33"/>
      <c r="AI223" s="33"/>
      <c r="AJ223" s="33"/>
      <c r="AK223" s="33"/>
      <c r="AL223" s="33"/>
      <c r="AM223" s="33"/>
      <c r="AN223" s="33"/>
      <c r="AO223" s="33"/>
      <c r="AP223" s="33"/>
      <c r="AQ223" s="33"/>
      <c r="AR223" s="33"/>
      <c r="AS223" s="33"/>
      <c r="AT223" s="33"/>
      <c r="AU223" s="33"/>
      <c r="AV223" s="33"/>
      <c r="AW223" s="8"/>
    </row>
    <row r="224" spans="2:49" x14ac:dyDescent="0.25">
      <c r="B224" s="243"/>
      <c r="C224" s="244"/>
      <c r="D224" s="244"/>
      <c r="E224" s="244"/>
      <c r="F224" s="244"/>
      <c r="G224" s="244"/>
      <c r="H224" s="244"/>
      <c r="I224" s="244"/>
      <c r="J224" s="244"/>
      <c r="K224" s="244"/>
      <c r="L224" s="244"/>
      <c r="M224" s="244"/>
      <c r="N224" s="244"/>
      <c r="O224" s="129"/>
      <c r="P224" s="130"/>
      <c r="Q224" s="130"/>
      <c r="R224" s="130"/>
      <c r="S224" s="130"/>
      <c r="T224" s="130"/>
      <c r="U224" s="130"/>
      <c r="V224" s="130"/>
      <c r="W224" s="130"/>
      <c r="X224" s="130"/>
      <c r="Y224" s="130"/>
      <c r="Z224" s="130"/>
      <c r="AA224" s="130"/>
      <c r="AB224" s="130"/>
      <c r="AC224" s="130"/>
      <c r="AD224" s="130"/>
      <c r="AE224" s="130"/>
      <c r="AF224" s="130"/>
      <c r="AG224" s="130"/>
      <c r="AH224" s="130"/>
      <c r="AI224" s="130"/>
      <c r="AJ224" s="130"/>
      <c r="AK224" s="130"/>
      <c r="AL224" s="130"/>
      <c r="AM224" s="130"/>
      <c r="AN224" s="130"/>
      <c r="AO224" s="130"/>
      <c r="AP224" s="130"/>
      <c r="AQ224" s="130"/>
      <c r="AR224" s="130"/>
      <c r="AS224" s="130"/>
      <c r="AT224" s="130"/>
      <c r="AU224" s="130"/>
      <c r="AV224" s="131"/>
      <c r="AW224" s="8"/>
    </row>
    <row r="225" spans="2:49" ht="7.5" customHeight="1" thickBot="1" x14ac:dyDescent="0.3">
      <c r="B225" s="10"/>
      <c r="AW225" s="8"/>
    </row>
    <row r="226" spans="2:49" x14ac:dyDescent="0.25">
      <c r="B226" s="10" t="s">
        <v>1</v>
      </c>
      <c r="F226" s="186"/>
      <c r="G226" s="187"/>
      <c r="H226" s="187"/>
      <c r="I226" s="187"/>
      <c r="J226" s="188"/>
      <c r="L226" t="s">
        <v>233</v>
      </c>
      <c r="O226" s="199"/>
      <c r="P226" s="200"/>
      <c r="Q226" s="200"/>
      <c r="R226" s="200"/>
      <c r="S226" s="200"/>
      <c r="T226" s="201"/>
      <c r="V226" s="127" t="s">
        <v>69</v>
      </c>
      <c r="W226" s="127"/>
      <c r="X226" s="127"/>
      <c r="Y226" s="196"/>
      <c r="Z226" s="197"/>
      <c r="AA226" s="197"/>
      <c r="AB226" s="197"/>
      <c r="AC226" s="197"/>
      <c r="AD226" s="197"/>
      <c r="AE226" s="197"/>
      <c r="AF226" s="197"/>
      <c r="AG226" s="197"/>
      <c r="AH226" s="197"/>
      <c r="AI226" s="197"/>
      <c r="AJ226" s="197"/>
      <c r="AK226" s="197"/>
      <c r="AL226" s="197"/>
      <c r="AM226" s="197"/>
      <c r="AN226" s="197"/>
      <c r="AO226" s="197"/>
      <c r="AP226" s="197"/>
      <c r="AQ226" s="197"/>
      <c r="AR226" s="197"/>
      <c r="AS226" s="197"/>
      <c r="AT226" s="197"/>
      <c r="AU226" s="197"/>
      <c r="AV226" s="198"/>
      <c r="AW226" s="8"/>
    </row>
    <row r="227" spans="2:49" ht="3" customHeight="1" x14ac:dyDescent="0.25">
      <c r="B227" s="10"/>
      <c r="F227" s="60"/>
      <c r="G227" s="60"/>
      <c r="H227" s="60"/>
      <c r="I227" s="60"/>
      <c r="J227" s="60"/>
      <c r="O227" s="61"/>
      <c r="P227" s="61"/>
      <c r="Q227" s="61"/>
      <c r="R227" s="61"/>
      <c r="S227" s="61"/>
      <c r="T227" s="61"/>
      <c r="V227" s="7"/>
      <c r="W227" s="7"/>
      <c r="X227" s="7"/>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8"/>
    </row>
    <row r="228" spans="2:49" ht="3" customHeight="1" thickBot="1" x14ac:dyDescent="0.3">
      <c r="B228" s="10"/>
      <c r="AW228" s="8"/>
    </row>
    <row r="229" spans="2:49" ht="15" customHeight="1" x14ac:dyDescent="0.25">
      <c r="B229" s="10" t="s">
        <v>208</v>
      </c>
      <c r="G229" s="119"/>
      <c r="H229" s="120"/>
      <c r="I229" s="120"/>
      <c r="J229" s="120"/>
      <c r="K229" s="120"/>
      <c r="L229" s="120"/>
      <c r="M229" s="120"/>
      <c r="N229" s="120"/>
      <c r="O229" s="120"/>
      <c r="P229" s="120"/>
      <c r="Q229" s="120"/>
      <c r="R229" s="120"/>
      <c r="S229" s="120"/>
      <c r="T229" s="120"/>
      <c r="U229" s="120"/>
      <c r="V229" s="120"/>
      <c r="W229" s="120"/>
      <c r="X229" s="120"/>
      <c r="Y229" s="120"/>
      <c r="Z229" s="120"/>
      <c r="AA229" s="120"/>
      <c r="AB229" s="120"/>
      <c r="AC229" s="120"/>
      <c r="AD229" s="120"/>
      <c r="AE229" s="120"/>
      <c r="AF229" s="120"/>
      <c r="AG229" s="120"/>
      <c r="AH229" s="120"/>
      <c r="AI229" s="120"/>
      <c r="AJ229" s="120"/>
      <c r="AK229" s="120"/>
      <c r="AL229" s="120"/>
      <c r="AM229" s="120"/>
      <c r="AN229" s="120"/>
      <c r="AO229" s="120"/>
      <c r="AP229" s="120"/>
      <c r="AQ229" s="120"/>
      <c r="AR229" s="120"/>
      <c r="AS229" s="120"/>
      <c r="AT229" s="120"/>
      <c r="AU229" s="120"/>
      <c r="AV229" s="121"/>
      <c r="AW229" s="8"/>
    </row>
    <row r="230" spans="2:49" ht="3" customHeight="1" thickBot="1" x14ac:dyDescent="0.3">
      <c r="B230" s="10"/>
      <c r="G230" s="19"/>
      <c r="H230" s="19"/>
      <c r="I230" s="19"/>
      <c r="J230" s="19"/>
      <c r="K230" s="19"/>
      <c r="L230" s="19"/>
      <c r="M230" s="19"/>
      <c r="N230" s="19"/>
      <c r="O230" s="19"/>
      <c r="P230" s="19"/>
      <c r="Q230" s="19"/>
      <c r="R230" s="19"/>
      <c r="S230" s="19"/>
      <c r="T230" s="19"/>
      <c r="U230" s="19"/>
      <c r="V230" s="19"/>
      <c r="W230" s="19"/>
      <c r="X230" s="19"/>
      <c r="Y230" s="19"/>
      <c r="Z230" s="19"/>
      <c r="AA230" s="19"/>
      <c r="AB230" s="19"/>
      <c r="AC230" s="19"/>
      <c r="AD230" s="19"/>
      <c r="AE230" s="19"/>
      <c r="AF230" s="19"/>
      <c r="AG230" s="19"/>
      <c r="AH230" s="19"/>
      <c r="AI230" s="19"/>
      <c r="AJ230" s="19"/>
      <c r="AK230" s="19"/>
      <c r="AL230" s="19"/>
      <c r="AM230" s="19"/>
      <c r="AN230" s="19"/>
      <c r="AO230" s="19"/>
      <c r="AP230" s="19"/>
      <c r="AQ230" s="19"/>
      <c r="AR230" s="19"/>
      <c r="AS230" s="19"/>
      <c r="AT230" s="19"/>
      <c r="AU230" s="19"/>
      <c r="AV230" s="19"/>
      <c r="AW230" s="8"/>
    </row>
    <row r="231" spans="2:49" ht="15" customHeight="1" x14ac:dyDescent="0.25">
      <c r="B231" s="10"/>
      <c r="G231" s="119"/>
      <c r="H231" s="120"/>
      <c r="I231" s="120"/>
      <c r="J231" s="120"/>
      <c r="K231" s="120"/>
      <c r="L231" s="120"/>
      <c r="M231" s="120"/>
      <c r="N231" s="120"/>
      <c r="O231" s="120"/>
      <c r="P231" s="120"/>
      <c r="Q231" s="120"/>
      <c r="R231" s="120"/>
      <c r="S231" s="120"/>
      <c r="T231" s="120"/>
      <c r="U231" s="120"/>
      <c r="V231" s="120"/>
      <c r="W231" s="120"/>
      <c r="X231" s="120"/>
      <c r="Y231" s="120"/>
      <c r="Z231" s="120"/>
      <c r="AA231" s="120"/>
      <c r="AB231" s="120"/>
      <c r="AC231" s="120"/>
      <c r="AD231" s="120"/>
      <c r="AE231" s="120"/>
      <c r="AF231" s="120"/>
      <c r="AG231" s="120"/>
      <c r="AH231" s="120"/>
      <c r="AI231" s="120"/>
      <c r="AJ231" s="120"/>
      <c r="AK231" s="120"/>
      <c r="AL231" s="120"/>
      <c r="AM231" s="120"/>
      <c r="AN231" s="120"/>
      <c r="AO231" s="120"/>
      <c r="AP231" s="120"/>
      <c r="AQ231" s="120"/>
      <c r="AR231" s="120"/>
      <c r="AS231" s="120"/>
      <c r="AT231" s="120"/>
      <c r="AU231" s="120"/>
      <c r="AV231" s="121"/>
      <c r="AW231" s="8"/>
    </row>
    <row r="232" spans="2:49" ht="3" customHeight="1" thickBot="1" x14ac:dyDescent="0.3">
      <c r="B232" s="10"/>
      <c r="AW232" s="8"/>
    </row>
    <row r="233" spans="2:49" ht="15" customHeight="1" x14ac:dyDescent="0.25">
      <c r="B233" s="10"/>
      <c r="G233" s="119"/>
      <c r="H233" s="120"/>
      <c r="I233" s="120"/>
      <c r="J233" s="120"/>
      <c r="K233" s="120"/>
      <c r="L233" s="120"/>
      <c r="M233" s="120"/>
      <c r="N233" s="120"/>
      <c r="O233" s="120"/>
      <c r="P233" s="120"/>
      <c r="Q233" s="120"/>
      <c r="R233" s="120"/>
      <c r="S233" s="120"/>
      <c r="T233" s="120"/>
      <c r="U233" s="120"/>
      <c r="V233" s="120"/>
      <c r="W233" s="120"/>
      <c r="X233" s="120"/>
      <c r="Y233" s="120"/>
      <c r="Z233" s="120"/>
      <c r="AA233" s="120"/>
      <c r="AB233" s="120"/>
      <c r="AC233" s="120"/>
      <c r="AD233" s="120"/>
      <c r="AE233" s="120"/>
      <c r="AF233" s="120"/>
      <c r="AG233" s="120"/>
      <c r="AH233" s="120"/>
      <c r="AI233" s="120"/>
      <c r="AJ233" s="120"/>
      <c r="AK233" s="120"/>
      <c r="AL233" s="120"/>
      <c r="AM233" s="120"/>
      <c r="AN233" s="120"/>
      <c r="AO233" s="120"/>
      <c r="AP233" s="120"/>
      <c r="AQ233" s="120"/>
      <c r="AR233" s="120"/>
      <c r="AS233" s="120"/>
      <c r="AT233" s="120"/>
      <c r="AU233" s="120"/>
      <c r="AV233" s="121"/>
      <c r="AW233" s="8"/>
    </row>
    <row r="234" spans="2:49" x14ac:dyDescent="0.25">
      <c r="B234" s="35" t="s">
        <v>219</v>
      </c>
      <c r="C234" s="36"/>
      <c r="D234" s="36"/>
      <c r="E234" s="36"/>
      <c r="F234" s="36"/>
      <c r="G234" s="36"/>
      <c r="H234" s="36"/>
      <c r="I234" s="36"/>
      <c r="J234" s="36"/>
      <c r="K234" s="36"/>
      <c r="L234" s="36"/>
      <c r="M234" s="36"/>
      <c r="N234" s="36"/>
      <c r="O234" s="36"/>
      <c r="P234" s="36"/>
      <c r="Q234" s="36"/>
      <c r="R234" s="36"/>
      <c r="S234" s="36"/>
      <c r="T234" s="36"/>
      <c r="V234" s="203" t="s">
        <v>232</v>
      </c>
      <c r="W234" s="203"/>
      <c r="X234" s="203"/>
      <c r="Y234" s="203"/>
      <c r="Z234" s="203"/>
      <c r="AA234" s="203"/>
      <c r="AB234" s="203"/>
      <c r="AC234" s="203"/>
      <c r="AD234" s="203"/>
      <c r="AE234" s="203"/>
      <c r="AF234" s="203"/>
      <c r="AG234" s="203"/>
      <c r="AH234" s="203"/>
      <c r="AI234" s="203"/>
      <c r="AJ234" s="203"/>
      <c r="AK234" s="203"/>
      <c r="AL234" s="203"/>
      <c r="AM234" s="203"/>
      <c r="AN234" s="203"/>
      <c r="AO234" s="203"/>
      <c r="AP234" s="203"/>
      <c r="AQ234" s="203"/>
      <c r="AR234" s="203"/>
      <c r="AS234" s="203"/>
      <c r="AT234" s="203"/>
      <c r="AU234" s="203"/>
      <c r="AV234" s="203"/>
      <c r="AW234" s="8"/>
    </row>
    <row r="235" spans="2:49" ht="3.75" customHeight="1" thickBot="1" x14ac:dyDescent="0.3">
      <c r="B235" s="35"/>
      <c r="C235" s="36"/>
      <c r="D235" s="36"/>
      <c r="E235" s="36"/>
      <c r="F235" s="36"/>
      <c r="G235" s="36"/>
      <c r="H235" s="36"/>
      <c r="I235" s="36"/>
      <c r="J235" s="36"/>
      <c r="K235" s="36"/>
      <c r="L235" s="36"/>
      <c r="M235" s="36"/>
      <c r="N235" s="36"/>
      <c r="O235" s="36"/>
      <c r="P235" s="36"/>
      <c r="Q235" s="36"/>
      <c r="R235" s="36"/>
      <c r="S235" s="36"/>
      <c r="T235" s="36"/>
      <c r="V235" s="36"/>
      <c r="W235" s="36"/>
      <c r="X235" s="36"/>
      <c r="Y235" s="36"/>
      <c r="Z235" s="36"/>
      <c r="AA235" s="36"/>
      <c r="AB235" s="36"/>
      <c r="AC235" s="36"/>
      <c r="AD235" s="36"/>
      <c r="AE235" s="36"/>
      <c r="AF235" s="36"/>
      <c r="AG235" s="36"/>
      <c r="AH235" s="36"/>
      <c r="AI235" s="36"/>
      <c r="AJ235" s="36"/>
      <c r="AK235" s="36"/>
      <c r="AL235" s="36"/>
      <c r="AM235" s="36"/>
      <c r="AN235" s="36"/>
      <c r="AO235" s="36"/>
      <c r="AP235" s="36"/>
      <c r="AQ235" s="36"/>
      <c r="AR235" s="36"/>
      <c r="AS235" s="36"/>
      <c r="AT235" s="36"/>
      <c r="AU235" s="36"/>
      <c r="AV235" s="36"/>
      <c r="AW235" s="8"/>
    </row>
    <row r="236" spans="2:49" ht="21" customHeight="1" x14ac:dyDescent="0.25">
      <c r="B236" s="35"/>
      <c r="C236" s="102"/>
      <c r="D236" s="104"/>
      <c r="E236" s="104"/>
      <c r="F236" s="104"/>
      <c r="G236" s="104"/>
      <c r="H236" s="104"/>
      <c r="I236" s="104"/>
      <c r="J236" s="104"/>
      <c r="K236" s="104"/>
      <c r="L236" s="104"/>
      <c r="M236" s="104"/>
      <c r="N236" s="104"/>
      <c r="O236" s="104"/>
      <c r="P236" s="104"/>
      <c r="Q236" s="104"/>
      <c r="R236" s="104"/>
      <c r="S236" s="104"/>
      <c r="T236" s="103"/>
      <c r="V236" s="204"/>
      <c r="W236" s="204"/>
      <c r="X236" s="204"/>
      <c r="Y236" s="204"/>
      <c r="Z236" s="204"/>
      <c r="AA236" s="204"/>
      <c r="AB236" s="204"/>
      <c r="AC236" s="204"/>
      <c r="AD236" s="204"/>
      <c r="AE236" s="204"/>
      <c r="AF236" s="204"/>
      <c r="AG236" s="204"/>
      <c r="AH236" s="204"/>
      <c r="AI236" s="204"/>
      <c r="AJ236" s="204"/>
      <c r="AK236" s="204"/>
      <c r="AL236" s="204"/>
      <c r="AM236" s="204"/>
      <c r="AN236" s="204"/>
      <c r="AO236" s="204"/>
      <c r="AP236" s="204"/>
      <c r="AQ236" s="204"/>
      <c r="AR236" s="204"/>
      <c r="AS236" s="204"/>
      <c r="AT236" s="204"/>
      <c r="AU236" s="204"/>
      <c r="AV236" s="204"/>
      <c r="AW236" s="8"/>
    </row>
    <row r="237" spans="2:49" ht="11.25" customHeight="1" x14ac:dyDescent="0.25">
      <c r="B237" s="1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2"/>
    </row>
    <row r="238" spans="2:49" ht="3" customHeight="1" x14ac:dyDescent="0.25"/>
    <row r="239" spans="2:49" x14ac:dyDescent="0.25">
      <c r="B239" s="245" t="s">
        <v>395</v>
      </c>
      <c r="C239" s="245"/>
      <c r="D239" s="245"/>
      <c r="E239" s="245"/>
      <c r="F239" s="245"/>
      <c r="G239" s="245"/>
      <c r="H239" s="245"/>
      <c r="I239" s="245"/>
      <c r="J239" s="245"/>
      <c r="K239" s="245"/>
      <c r="L239" s="245"/>
      <c r="M239" s="245"/>
      <c r="N239" s="245"/>
      <c r="O239" s="245"/>
      <c r="P239" s="245"/>
      <c r="Q239" s="245"/>
      <c r="R239" s="245"/>
      <c r="S239" s="245"/>
      <c r="T239" s="245"/>
      <c r="U239" s="245"/>
      <c r="V239" s="245"/>
      <c r="W239" s="245"/>
      <c r="X239" s="245"/>
      <c r="Y239" s="245"/>
      <c r="Z239" s="245"/>
      <c r="AA239" s="245"/>
      <c r="AB239" s="245"/>
      <c r="AC239" s="245"/>
      <c r="AD239" s="245"/>
      <c r="AE239" s="245"/>
      <c r="AF239" s="245"/>
      <c r="AG239" s="245"/>
      <c r="AH239" s="245"/>
      <c r="AI239" s="245"/>
      <c r="AJ239" s="245"/>
      <c r="AK239" s="245"/>
      <c r="AL239" s="245"/>
      <c r="AM239" s="245"/>
      <c r="AN239" s="245"/>
      <c r="AO239" s="245"/>
      <c r="AP239" s="245"/>
      <c r="AQ239" s="245"/>
      <c r="AR239" s="245"/>
      <c r="AS239" s="245"/>
      <c r="AT239" s="245"/>
      <c r="AU239" s="245"/>
      <c r="AV239" s="245"/>
      <c r="AW239" s="245"/>
    </row>
    <row r="240" spans="2:49" ht="15" customHeight="1" x14ac:dyDescent="0.25">
      <c r="B240" s="13"/>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5"/>
    </row>
    <row r="241" spans="2:49" ht="15" customHeight="1" x14ac:dyDescent="0.25">
      <c r="B241" s="115" t="s">
        <v>374</v>
      </c>
      <c r="C241" s="105"/>
      <c r="D241" s="105"/>
      <c r="E241" s="105"/>
      <c r="F241" s="105"/>
      <c r="G241" s="105"/>
      <c r="H241" s="105"/>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c r="AJ241" s="105"/>
      <c r="AK241" s="105"/>
      <c r="AL241" s="105"/>
      <c r="AM241" s="105"/>
      <c r="AN241" s="105"/>
      <c r="AO241" s="105"/>
      <c r="AP241" s="105"/>
      <c r="AQ241" s="105"/>
      <c r="AR241" s="105"/>
      <c r="AS241" s="105"/>
      <c r="AT241" s="105"/>
      <c r="AU241" s="105"/>
      <c r="AV241" s="105"/>
      <c r="AW241" s="8"/>
    </row>
    <row r="242" spans="2:49" ht="15" customHeight="1" x14ac:dyDescent="0.25">
      <c r="B242" s="115"/>
      <c r="C242" s="105"/>
      <c r="D242" s="105"/>
      <c r="E242" s="105"/>
      <c r="F242" s="105"/>
      <c r="G242" s="105"/>
      <c r="H242" s="105"/>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c r="AJ242" s="105"/>
      <c r="AK242" s="105"/>
      <c r="AL242" s="105"/>
      <c r="AM242" s="105"/>
      <c r="AN242" s="105"/>
      <c r="AO242" s="105"/>
      <c r="AP242" s="105"/>
      <c r="AQ242" s="105"/>
      <c r="AR242" s="105"/>
      <c r="AS242" s="105"/>
      <c r="AT242" s="105"/>
      <c r="AU242" s="105"/>
      <c r="AV242" s="105"/>
      <c r="AW242" s="8"/>
    </row>
    <row r="243" spans="2:49" ht="15" customHeight="1" x14ac:dyDescent="0.25">
      <c r="B243" s="243" t="s">
        <v>371</v>
      </c>
      <c r="C243" s="244"/>
      <c r="D243" s="244"/>
      <c r="E243" s="244"/>
      <c r="F243" s="244"/>
      <c r="G243" s="244"/>
      <c r="H243" s="244"/>
      <c r="I243" s="244"/>
      <c r="J243" s="244"/>
      <c r="K243" s="244"/>
      <c r="L243" s="244"/>
      <c r="M243" s="244"/>
      <c r="N243" s="244"/>
      <c r="O243" s="244"/>
      <c r="P243" s="244"/>
      <c r="Q243" s="244"/>
      <c r="R243" s="244"/>
      <c r="S243" s="244"/>
      <c r="T243" s="244"/>
      <c r="U243" s="244"/>
      <c r="V243" s="244"/>
      <c r="W243" s="244"/>
      <c r="X243" s="244"/>
      <c r="Y243" s="244"/>
      <c r="Z243" s="244"/>
      <c r="AA243" s="244"/>
      <c r="AB243" s="244"/>
      <c r="AC243" s="244"/>
      <c r="AD243" s="244"/>
      <c r="AE243" s="244"/>
      <c r="AF243" s="244"/>
      <c r="AG243" s="244"/>
      <c r="AH243" s="244"/>
      <c r="AI243" s="244"/>
      <c r="AJ243" s="244"/>
      <c r="AK243" s="244"/>
      <c r="AL243" s="244"/>
      <c r="AM243" s="244"/>
      <c r="AN243" s="244"/>
      <c r="AO243" s="244"/>
      <c r="AP243" s="244"/>
      <c r="AQ243" s="244"/>
      <c r="AR243" s="244"/>
      <c r="AS243" s="244"/>
      <c r="AT243" s="244"/>
      <c r="AU243" s="244"/>
      <c r="AV243" s="244"/>
      <c r="AW243" s="8"/>
    </row>
    <row r="244" spans="2:49" ht="15" customHeight="1" x14ac:dyDescent="0.25">
      <c r="B244" s="156" t="s">
        <v>372</v>
      </c>
      <c r="C244" s="135"/>
      <c r="D244" s="135"/>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c r="AA244" s="135"/>
      <c r="AB244" s="135"/>
      <c r="AC244" s="135"/>
      <c r="AD244" s="135"/>
      <c r="AE244" s="135"/>
      <c r="AF244" s="135"/>
      <c r="AG244" s="135"/>
      <c r="AH244" s="135"/>
      <c r="AI244" s="135"/>
      <c r="AJ244" s="135"/>
      <c r="AK244" s="135"/>
      <c r="AL244" s="135"/>
      <c r="AM244" s="135"/>
      <c r="AN244" s="135"/>
      <c r="AO244" s="135"/>
      <c r="AP244" s="135"/>
      <c r="AQ244" s="135"/>
      <c r="AR244" s="135"/>
      <c r="AS244" s="135"/>
      <c r="AT244" s="135"/>
      <c r="AU244" s="135"/>
      <c r="AV244" s="135"/>
      <c r="AW244" s="8"/>
    </row>
    <row r="245" spans="2:49" ht="15" customHeight="1" x14ac:dyDescent="0.25">
      <c r="B245" s="156"/>
      <c r="C245" s="135"/>
      <c r="D245" s="135"/>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c r="AA245" s="135"/>
      <c r="AB245" s="135"/>
      <c r="AC245" s="135"/>
      <c r="AD245" s="135"/>
      <c r="AE245" s="135"/>
      <c r="AF245" s="135"/>
      <c r="AG245" s="135"/>
      <c r="AH245" s="135"/>
      <c r="AI245" s="135"/>
      <c r="AJ245" s="135"/>
      <c r="AK245" s="135"/>
      <c r="AL245" s="135"/>
      <c r="AM245" s="135"/>
      <c r="AN245" s="135"/>
      <c r="AO245" s="135"/>
      <c r="AP245" s="135"/>
      <c r="AQ245" s="135"/>
      <c r="AR245" s="135"/>
      <c r="AS245" s="135"/>
      <c r="AT245" s="135"/>
      <c r="AU245" s="135"/>
      <c r="AV245" s="135"/>
      <c r="AW245" s="8"/>
    </row>
    <row r="246" spans="2:49" ht="15" customHeight="1" x14ac:dyDescent="0.25">
      <c r="B246" s="156" t="s">
        <v>373</v>
      </c>
      <c r="C246" s="135"/>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c r="AA246" s="135"/>
      <c r="AB246" s="135"/>
      <c r="AC246" s="135"/>
      <c r="AD246" s="135"/>
      <c r="AE246" s="135"/>
      <c r="AF246" s="135"/>
      <c r="AG246" s="135"/>
      <c r="AH246" s="135"/>
      <c r="AI246" s="135"/>
      <c r="AJ246" s="135"/>
      <c r="AK246" s="135"/>
      <c r="AL246" s="135"/>
      <c r="AM246" s="135"/>
      <c r="AN246" s="135"/>
      <c r="AO246" s="135"/>
      <c r="AP246" s="135"/>
      <c r="AQ246" s="135"/>
      <c r="AR246" s="135"/>
      <c r="AS246" s="135"/>
      <c r="AT246" s="135"/>
      <c r="AU246" s="135"/>
      <c r="AV246" s="135"/>
      <c r="AW246" s="8"/>
    </row>
    <row r="247" spans="2:49" ht="15" customHeight="1" x14ac:dyDescent="0.25">
      <c r="B247" s="156"/>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5"/>
      <c r="AN247" s="135"/>
      <c r="AO247" s="135"/>
      <c r="AP247" s="135"/>
      <c r="AQ247" s="135"/>
      <c r="AR247" s="135"/>
      <c r="AS247" s="135"/>
      <c r="AT247" s="135"/>
      <c r="AU247" s="135"/>
      <c r="AV247" s="135"/>
      <c r="AW247" s="8"/>
    </row>
    <row r="248" spans="2:49" ht="3" customHeight="1" x14ac:dyDescent="0.25">
      <c r="B248" s="10"/>
      <c r="AW248" s="8"/>
    </row>
    <row r="249" spans="2:49" ht="15" customHeight="1" x14ac:dyDescent="0.25">
      <c r="B249" s="156" t="s">
        <v>375</v>
      </c>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c r="AE249" s="135"/>
      <c r="AF249" s="135"/>
      <c r="AG249" s="135"/>
      <c r="AH249" s="135"/>
      <c r="AI249" s="135"/>
      <c r="AJ249" s="135"/>
      <c r="AK249" s="135"/>
      <c r="AL249" s="135"/>
      <c r="AM249" s="135"/>
      <c r="AN249" s="135"/>
      <c r="AO249" s="135"/>
      <c r="AP249" s="135"/>
      <c r="AQ249" s="135"/>
      <c r="AR249" s="135"/>
      <c r="AS249" s="135"/>
      <c r="AT249" s="135"/>
      <c r="AU249" s="135"/>
      <c r="AV249" s="135"/>
      <c r="AW249" s="8"/>
    </row>
    <row r="250" spans="2:49" ht="15" customHeight="1" x14ac:dyDescent="0.25">
      <c r="B250" s="156"/>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c r="AD250" s="135"/>
      <c r="AE250" s="135"/>
      <c r="AF250" s="135"/>
      <c r="AG250" s="135"/>
      <c r="AH250" s="135"/>
      <c r="AI250" s="135"/>
      <c r="AJ250" s="135"/>
      <c r="AK250" s="135"/>
      <c r="AL250" s="135"/>
      <c r="AM250" s="135"/>
      <c r="AN250" s="135"/>
      <c r="AO250" s="135"/>
      <c r="AP250" s="135"/>
      <c r="AQ250" s="135"/>
      <c r="AR250" s="135"/>
      <c r="AS250" s="135"/>
      <c r="AT250" s="135"/>
      <c r="AU250" s="135"/>
      <c r="AV250" s="135"/>
      <c r="AW250" s="8"/>
    </row>
    <row r="251" spans="2:49" ht="3" customHeight="1" x14ac:dyDescent="0.25">
      <c r="B251" s="10"/>
      <c r="AW251" s="8"/>
    </row>
    <row r="252" spans="2:49" ht="15" customHeight="1" x14ac:dyDescent="0.25">
      <c r="B252" s="35" t="s">
        <v>376</v>
      </c>
      <c r="C252" s="36"/>
      <c r="D252" s="36"/>
      <c r="E252" s="36"/>
      <c r="F252" s="36"/>
      <c r="G252" s="36"/>
      <c r="H252" s="36"/>
      <c r="I252" s="36"/>
      <c r="J252" s="36"/>
      <c r="K252" s="36"/>
      <c r="L252" s="36"/>
      <c r="M252" s="36"/>
      <c r="N252" s="36"/>
      <c r="O252" s="36"/>
      <c r="P252" s="36"/>
      <c r="Q252" s="36"/>
      <c r="R252" s="36"/>
      <c r="S252" s="36"/>
      <c r="T252" s="36"/>
      <c r="V252" s="203" t="s">
        <v>232</v>
      </c>
      <c r="W252" s="203"/>
      <c r="X252" s="203"/>
      <c r="Y252" s="203"/>
      <c r="Z252" s="203"/>
      <c r="AA252" s="203"/>
      <c r="AB252" s="203"/>
      <c r="AC252" s="203"/>
      <c r="AD252" s="203"/>
      <c r="AE252" s="203"/>
      <c r="AF252" s="203"/>
      <c r="AG252" s="203"/>
      <c r="AH252" s="203"/>
      <c r="AI252" s="203"/>
      <c r="AJ252" s="203"/>
      <c r="AK252" s="203"/>
      <c r="AL252" s="203"/>
      <c r="AM252" s="203"/>
      <c r="AN252" s="203"/>
      <c r="AO252" s="203"/>
      <c r="AP252" s="203"/>
      <c r="AQ252" s="203"/>
      <c r="AR252" s="203"/>
      <c r="AS252" s="203"/>
      <c r="AT252" s="203"/>
      <c r="AU252" s="203"/>
      <c r="AV252" s="203"/>
      <c r="AW252" s="8"/>
    </row>
    <row r="253" spans="2:49" ht="15" customHeight="1" thickBot="1" x14ac:dyDescent="0.3">
      <c r="B253" s="35"/>
      <c r="C253" s="36"/>
      <c r="D253" s="36"/>
      <c r="E253" s="36"/>
      <c r="F253" s="36"/>
      <c r="G253" s="36"/>
      <c r="H253" s="36"/>
      <c r="I253" s="36"/>
      <c r="J253" s="36"/>
      <c r="K253" s="36"/>
      <c r="L253" s="36"/>
      <c r="M253" s="36"/>
      <c r="N253" s="36"/>
      <c r="O253" s="36"/>
      <c r="P253" s="36"/>
      <c r="Q253" s="36"/>
      <c r="R253" s="36"/>
      <c r="S253" s="36"/>
      <c r="T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8"/>
    </row>
    <row r="254" spans="2:49" ht="21" customHeight="1" x14ac:dyDescent="0.25">
      <c r="B254" s="35"/>
      <c r="C254" s="102"/>
      <c r="D254" s="104"/>
      <c r="E254" s="104"/>
      <c r="F254" s="104"/>
      <c r="G254" s="104"/>
      <c r="H254" s="104"/>
      <c r="I254" s="104"/>
      <c r="J254" s="104"/>
      <c r="K254" s="104"/>
      <c r="L254" s="104"/>
      <c r="M254" s="104"/>
      <c r="N254" s="104"/>
      <c r="O254" s="104"/>
      <c r="P254" s="104"/>
      <c r="Q254" s="104"/>
      <c r="R254" s="104"/>
      <c r="S254" s="104"/>
      <c r="T254" s="103"/>
      <c r="V254" s="204"/>
      <c r="W254" s="204"/>
      <c r="X254" s="204"/>
      <c r="Y254" s="204"/>
      <c r="Z254" s="204"/>
      <c r="AA254" s="204"/>
      <c r="AB254" s="204"/>
      <c r="AC254" s="204"/>
      <c r="AD254" s="204"/>
      <c r="AE254" s="204"/>
      <c r="AF254" s="204"/>
      <c r="AG254" s="204"/>
      <c r="AH254" s="204"/>
      <c r="AI254" s="204"/>
      <c r="AJ254" s="204"/>
      <c r="AK254" s="204"/>
      <c r="AL254" s="204"/>
      <c r="AM254" s="204"/>
      <c r="AN254" s="204"/>
      <c r="AO254" s="204"/>
      <c r="AP254" s="204"/>
      <c r="AQ254" s="204"/>
      <c r="AR254" s="204"/>
      <c r="AS254" s="204"/>
      <c r="AT254" s="204"/>
      <c r="AU254" s="204"/>
      <c r="AV254" s="204"/>
      <c r="AW254" s="8"/>
    </row>
    <row r="255" spans="2:49" ht="11.25" customHeight="1" x14ac:dyDescent="0.25">
      <c r="B255" s="1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2"/>
    </row>
    <row r="256" spans="2:49" ht="3" customHeight="1" x14ac:dyDescent="0.25"/>
    <row r="257" spans="1:50" ht="15.75" customHeight="1" x14ac:dyDescent="0.25">
      <c r="B257" s="13"/>
      <c r="C257" s="14"/>
      <c r="D257" s="14"/>
      <c r="E257" s="140" t="s">
        <v>266</v>
      </c>
      <c r="F257" s="140"/>
      <c r="G257" s="140"/>
      <c r="H257" s="140"/>
      <c r="I257" s="140"/>
      <c r="J257" s="140"/>
      <c r="K257" s="140"/>
      <c r="L257" s="140"/>
      <c r="M257" s="140"/>
      <c r="N257" s="140"/>
      <c r="O257" s="140"/>
      <c r="P257" s="140"/>
      <c r="Q257" s="140"/>
      <c r="R257" s="140"/>
      <c r="S257" s="140"/>
      <c r="T257" s="140"/>
      <c r="U257" s="140"/>
      <c r="V257" s="140"/>
      <c r="W257" s="140"/>
      <c r="X257" s="140"/>
      <c r="Y257" s="140"/>
      <c r="Z257" s="140"/>
      <c r="AA257" s="140"/>
      <c r="AB257" s="140"/>
      <c r="AC257" s="140"/>
      <c r="AD257" s="140"/>
      <c r="AE257" s="140"/>
      <c r="AF257" s="140"/>
      <c r="AG257" s="140"/>
      <c r="AH257" s="140"/>
      <c r="AI257" s="140"/>
      <c r="AJ257" s="140"/>
      <c r="AK257" s="140"/>
      <c r="AL257" s="140"/>
      <c r="AM257" s="140"/>
      <c r="AN257" s="140"/>
      <c r="AO257" s="140"/>
      <c r="AP257" s="140"/>
      <c r="AQ257" s="140"/>
      <c r="AR257" s="140"/>
      <c r="AS257" s="140"/>
      <c r="AT257" s="41"/>
      <c r="AU257" s="41"/>
      <c r="AV257" s="41"/>
      <c r="AW257" s="15"/>
    </row>
    <row r="258" spans="1:50" ht="15.75" x14ac:dyDescent="0.25">
      <c r="B258" s="10"/>
      <c r="E258" s="141"/>
      <c r="F258" s="141"/>
      <c r="G258" s="141"/>
      <c r="H258" s="141"/>
      <c r="I258" s="141"/>
      <c r="J258" s="141"/>
      <c r="K258" s="141"/>
      <c r="L258" s="141"/>
      <c r="M258" s="141"/>
      <c r="N258" s="141"/>
      <c r="O258" s="141"/>
      <c r="P258" s="141"/>
      <c r="Q258" s="141"/>
      <c r="R258" s="141"/>
      <c r="S258" s="141"/>
      <c r="T258" s="141"/>
      <c r="U258" s="141"/>
      <c r="V258" s="141"/>
      <c r="W258" s="141"/>
      <c r="X258" s="141"/>
      <c r="Y258" s="141"/>
      <c r="Z258" s="141"/>
      <c r="AA258" s="141"/>
      <c r="AB258" s="141"/>
      <c r="AC258" s="141"/>
      <c r="AD258" s="141"/>
      <c r="AE258" s="141"/>
      <c r="AF258" s="141"/>
      <c r="AG258" s="141"/>
      <c r="AH258" s="141"/>
      <c r="AI258" s="141"/>
      <c r="AJ258" s="141"/>
      <c r="AK258" s="141"/>
      <c r="AL258" s="141"/>
      <c r="AM258" s="141"/>
      <c r="AN258" s="141"/>
      <c r="AO258" s="141"/>
      <c r="AP258" s="141"/>
      <c r="AQ258" s="141"/>
      <c r="AR258" s="141"/>
      <c r="AS258" s="141"/>
      <c r="AT258" s="42"/>
      <c r="AU258" s="42"/>
      <c r="AV258" s="42"/>
      <c r="AW258" s="8"/>
    </row>
    <row r="259" spans="1:50" ht="15.75" x14ac:dyDescent="0.25">
      <c r="B259" s="10"/>
      <c r="E259" s="141"/>
      <c r="F259" s="141"/>
      <c r="G259" s="141"/>
      <c r="H259" s="141"/>
      <c r="I259" s="141"/>
      <c r="J259" s="141"/>
      <c r="K259" s="141"/>
      <c r="L259" s="141"/>
      <c r="M259" s="141"/>
      <c r="N259" s="141"/>
      <c r="O259" s="141"/>
      <c r="P259" s="141"/>
      <c r="Q259" s="141"/>
      <c r="R259" s="141"/>
      <c r="S259" s="141"/>
      <c r="T259" s="141"/>
      <c r="U259" s="141"/>
      <c r="V259" s="141"/>
      <c r="W259" s="141"/>
      <c r="X259" s="141"/>
      <c r="Y259" s="141"/>
      <c r="Z259" s="141"/>
      <c r="AA259" s="141"/>
      <c r="AB259" s="141"/>
      <c r="AC259" s="141"/>
      <c r="AD259" s="141"/>
      <c r="AE259" s="141"/>
      <c r="AF259" s="141"/>
      <c r="AG259" s="141"/>
      <c r="AH259" s="141"/>
      <c r="AI259" s="141"/>
      <c r="AJ259" s="141"/>
      <c r="AK259" s="141"/>
      <c r="AL259" s="141"/>
      <c r="AM259" s="141"/>
      <c r="AN259" s="141"/>
      <c r="AO259" s="141"/>
      <c r="AP259" s="141"/>
      <c r="AQ259" s="141"/>
      <c r="AR259" s="141"/>
      <c r="AS259" s="141"/>
      <c r="AT259" s="42"/>
      <c r="AU259" s="42"/>
      <c r="AV259" s="42"/>
      <c r="AW259" s="8"/>
    </row>
    <row r="260" spans="1:50" x14ac:dyDescent="0.25">
      <c r="B260" s="142" t="s">
        <v>271</v>
      </c>
      <c r="C260" s="143"/>
      <c r="D260" s="143"/>
      <c r="E260" s="143"/>
      <c r="F260" s="143"/>
      <c r="G260" s="143"/>
      <c r="H260" s="143"/>
      <c r="I260" s="143"/>
      <c r="J260" s="143"/>
      <c r="K260" s="143"/>
      <c r="L260" s="143"/>
      <c r="M260" s="143"/>
      <c r="N260" s="143"/>
      <c r="O260" s="143"/>
      <c r="P260" s="143"/>
      <c r="Q260" s="143"/>
      <c r="R260" s="143"/>
      <c r="S260" s="143"/>
      <c r="T260" s="143"/>
      <c r="U260" s="143"/>
      <c r="V260" s="143"/>
      <c r="W260" s="143"/>
      <c r="X260" s="143"/>
      <c r="Y260" s="143"/>
      <c r="Z260" s="143"/>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2"/>
    </row>
    <row r="261" spans="1:50" ht="3" customHeight="1" x14ac:dyDescent="0.25"/>
    <row r="262" spans="1:50" x14ac:dyDescent="0.25">
      <c r="A262" s="56"/>
      <c r="B262" s="155" t="str">
        <f>IF(OR(C268="",C272="",C275="",C279="",C283=""),"Há perguntas sem resposta. Favor conferir se as 5 perguntas foram respondidas","")</f>
        <v>Há perguntas sem resposta. Favor conferir se as 5 perguntas foram respondidas</v>
      </c>
      <c r="C262" s="155"/>
      <c r="D262" s="155"/>
      <c r="E262" s="155"/>
      <c r="F262" s="155"/>
      <c r="G262" s="155"/>
      <c r="H262" s="155"/>
      <c r="I262" s="155"/>
      <c r="J262" s="155"/>
      <c r="K262" s="155"/>
      <c r="L262" s="155"/>
      <c r="M262" s="155"/>
      <c r="N262" s="155"/>
      <c r="O262" s="155"/>
      <c r="P262" s="155"/>
      <c r="Q262" s="155"/>
      <c r="R262" s="155"/>
      <c r="S262" s="155"/>
      <c r="T262" s="155"/>
      <c r="U262" s="155"/>
      <c r="V262" s="155"/>
      <c r="W262" s="155"/>
      <c r="X262" s="155"/>
      <c r="Y262" s="155"/>
      <c r="Z262" s="155"/>
      <c r="AA262" s="155"/>
      <c r="AB262" s="155"/>
      <c r="AC262" s="155"/>
      <c r="AD262" s="155"/>
      <c r="AE262" s="155"/>
      <c r="AF262" s="155"/>
      <c r="AG262" s="155"/>
      <c r="AH262" s="155"/>
      <c r="AI262" s="155"/>
      <c r="AJ262" s="155"/>
      <c r="AK262" s="155"/>
      <c r="AL262" s="155"/>
      <c r="AM262" s="155"/>
      <c r="AN262" s="155"/>
      <c r="AO262" s="155"/>
      <c r="AP262" s="155"/>
      <c r="AQ262" s="155"/>
      <c r="AR262" s="155"/>
      <c r="AS262" s="155"/>
      <c r="AT262" s="155"/>
      <c r="AU262" s="155"/>
      <c r="AV262" s="155"/>
      <c r="AW262" s="155"/>
      <c r="AX262" s="56"/>
    </row>
    <row r="263" spans="1:50" x14ac:dyDescent="0.25">
      <c r="A263" s="56"/>
      <c r="B263" s="155"/>
      <c r="C263" s="155"/>
      <c r="D263" s="155"/>
      <c r="E263" s="155"/>
      <c r="F263" s="155"/>
      <c r="G263" s="155"/>
      <c r="H263" s="155"/>
      <c r="I263" s="155"/>
      <c r="J263" s="155"/>
      <c r="K263" s="155"/>
      <c r="L263" s="155"/>
      <c r="M263" s="155"/>
      <c r="N263" s="155"/>
      <c r="O263" s="155"/>
      <c r="P263" s="155"/>
      <c r="Q263" s="155"/>
      <c r="R263" s="155"/>
      <c r="S263" s="155"/>
      <c r="T263" s="155"/>
      <c r="U263" s="155"/>
      <c r="V263" s="155"/>
      <c r="W263" s="155"/>
      <c r="X263" s="155"/>
      <c r="Y263" s="155"/>
      <c r="Z263" s="155"/>
      <c r="AA263" s="155"/>
      <c r="AB263" s="155"/>
      <c r="AC263" s="155"/>
      <c r="AD263" s="155"/>
      <c r="AE263" s="155"/>
      <c r="AF263" s="155"/>
      <c r="AG263" s="155"/>
      <c r="AH263" s="155"/>
      <c r="AI263" s="155"/>
      <c r="AJ263" s="155"/>
      <c r="AK263" s="155"/>
      <c r="AL263" s="155"/>
      <c r="AM263" s="155"/>
      <c r="AN263" s="155"/>
      <c r="AO263" s="155"/>
      <c r="AP263" s="155"/>
      <c r="AQ263" s="155"/>
      <c r="AR263" s="155"/>
      <c r="AS263" s="155"/>
      <c r="AT263" s="155"/>
      <c r="AU263" s="155"/>
      <c r="AV263" s="155"/>
      <c r="AW263" s="155"/>
      <c r="AX263" s="56"/>
    </row>
    <row r="264" spans="1:50" x14ac:dyDescent="0.25">
      <c r="B264" s="152" t="s">
        <v>267</v>
      </c>
      <c r="C264" s="153"/>
      <c r="D264" s="153"/>
      <c r="E264" s="153"/>
      <c r="F264" s="153"/>
      <c r="G264" s="153"/>
      <c r="H264" s="153"/>
      <c r="I264" s="153"/>
      <c r="J264" s="153"/>
      <c r="K264" s="153"/>
      <c r="L264" s="153"/>
      <c r="M264" s="153"/>
      <c r="N264" s="153"/>
      <c r="O264" s="153"/>
      <c r="P264" s="153"/>
      <c r="Q264" s="153"/>
      <c r="R264" s="153"/>
      <c r="S264" s="153"/>
      <c r="T264" s="153"/>
      <c r="U264" s="153"/>
      <c r="V264" s="153"/>
      <c r="W264" s="153"/>
      <c r="X264" s="153"/>
      <c r="Y264" s="153"/>
      <c r="Z264" s="153"/>
      <c r="AA264" s="153"/>
      <c r="AB264" s="153"/>
      <c r="AC264" s="153"/>
      <c r="AD264" s="153"/>
      <c r="AE264" s="153"/>
      <c r="AF264" s="153"/>
      <c r="AG264" s="153"/>
      <c r="AH264" s="153"/>
      <c r="AI264" s="153"/>
      <c r="AJ264" s="153"/>
      <c r="AK264" s="153"/>
      <c r="AL264" s="153"/>
      <c r="AM264" s="153"/>
      <c r="AN264" s="153"/>
      <c r="AO264" s="153"/>
      <c r="AP264" s="153"/>
      <c r="AQ264" s="153"/>
      <c r="AR264" s="153"/>
      <c r="AS264" s="153"/>
      <c r="AT264" s="153"/>
      <c r="AU264" s="153"/>
      <c r="AV264" s="153"/>
      <c r="AW264" s="154"/>
    </row>
    <row r="265" spans="1:50" ht="3" customHeight="1" x14ac:dyDescent="0.25">
      <c r="B265" s="10"/>
      <c r="E265" s="31"/>
      <c r="AW265" s="8"/>
    </row>
    <row r="266" spans="1:50" x14ac:dyDescent="0.25">
      <c r="A266" s="47"/>
      <c r="B266" s="147" t="s">
        <v>247</v>
      </c>
      <c r="C266" s="148"/>
      <c r="D266" s="148"/>
      <c r="E266" s="148"/>
      <c r="F266" s="148"/>
      <c r="G266" s="148"/>
      <c r="H266" s="148"/>
      <c r="I266" s="148"/>
      <c r="J266" s="148"/>
      <c r="K266" s="148"/>
      <c r="L266" s="148"/>
      <c r="M266" s="148"/>
      <c r="N266" s="148"/>
      <c r="O266" s="148"/>
      <c r="P266" s="148"/>
      <c r="Q266" s="148"/>
      <c r="R266" s="148"/>
      <c r="S266" s="148"/>
      <c r="T266" s="148"/>
      <c r="U266" s="148"/>
      <c r="V266" s="148"/>
      <c r="W266" s="148"/>
      <c r="X266" s="148"/>
      <c r="Y266" s="148"/>
      <c r="Z266" s="148"/>
      <c r="AA266" s="148"/>
      <c r="AB266" s="148"/>
      <c r="AC266" s="148"/>
      <c r="AD266" s="148"/>
      <c r="AE266" s="148"/>
      <c r="AF266" s="148"/>
      <c r="AG266" s="148"/>
      <c r="AH266" s="148"/>
      <c r="AI266" s="148"/>
      <c r="AJ266" s="148"/>
      <c r="AK266" s="148"/>
      <c r="AL266" s="148"/>
      <c r="AM266" s="148"/>
      <c r="AN266" s="148"/>
      <c r="AV266" s="71"/>
      <c r="AW266" s="69"/>
      <c r="AX266" s="47"/>
    </row>
    <row r="267" spans="1:50" ht="3" customHeight="1" x14ac:dyDescent="0.25">
      <c r="A267" s="47"/>
      <c r="B267" s="49"/>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c r="AB267" s="50"/>
      <c r="AC267" s="50"/>
      <c r="AD267" s="50"/>
      <c r="AE267" s="50"/>
      <c r="AF267" s="50"/>
      <c r="AG267" s="50"/>
      <c r="AH267" s="50"/>
      <c r="AI267" s="50"/>
      <c r="AJ267" s="50"/>
      <c r="AK267" s="50"/>
      <c r="AL267" s="50"/>
      <c r="AM267" s="50"/>
      <c r="AN267" s="50"/>
      <c r="AO267" s="71"/>
      <c r="AP267" s="71"/>
      <c r="AQ267" s="71"/>
      <c r="AR267" s="71"/>
      <c r="AS267" s="71"/>
      <c r="AT267" s="71"/>
      <c r="AU267" s="71"/>
      <c r="AV267" s="50"/>
      <c r="AW267" s="48"/>
      <c r="AX267" s="47"/>
    </row>
    <row r="268" spans="1:50" ht="35.1" customHeight="1" x14ac:dyDescent="0.25">
      <c r="A268" s="47"/>
      <c r="B268" s="46"/>
      <c r="C268" s="144"/>
      <c r="D268" s="145"/>
      <c r="E268" s="145"/>
      <c r="F268" s="145"/>
      <c r="G268" s="145"/>
      <c r="H268" s="145"/>
      <c r="I268" s="145"/>
      <c r="J268" s="145"/>
      <c r="K268" s="145"/>
      <c r="L268" s="145"/>
      <c r="M268" s="145"/>
      <c r="N268" s="145"/>
      <c r="O268" s="145"/>
      <c r="P268" s="145"/>
      <c r="Q268" s="145"/>
      <c r="R268" s="145"/>
      <c r="S268" s="145"/>
      <c r="T268" s="145"/>
      <c r="U268" s="145"/>
      <c r="V268" s="145"/>
      <c r="W268" s="145"/>
      <c r="X268" s="145"/>
      <c r="Y268" s="145"/>
      <c r="Z268" s="145"/>
      <c r="AA268" s="145"/>
      <c r="AB268" s="145"/>
      <c r="AC268" s="145"/>
      <c r="AD268" s="145"/>
      <c r="AE268" s="145"/>
      <c r="AF268" s="145"/>
      <c r="AG268" s="145"/>
      <c r="AH268" s="145"/>
      <c r="AI268" s="145"/>
      <c r="AJ268" s="145"/>
      <c r="AK268" s="145"/>
      <c r="AL268" s="145"/>
      <c r="AM268" s="145"/>
      <c r="AN268" s="145"/>
      <c r="AO268" s="145"/>
      <c r="AP268" s="145"/>
      <c r="AQ268" s="145"/>
      <c r="AR268" s="145"/>
      <c r="AS268" s="145"/>
      <c r="AT268" s="145"/>
      <c r="AU268" s="146"/>
      <c r="AV268" s="47"/>
      <c r="AW268" s="48"/>
      <c r="AX268" s="47"/>
    </row>
    <row r="269" spans="1:50" ht="3" customHeight="1" x14ac:dyDescent="0.25">
      <c r="A269" s="47"/>
      <c r="B269" s="46"/>
      <c r="C269" s="47"/>
      <c r="D269" s="47"/>
      <c r="E269" s="47"/>
      <c r="F269" s="47"/>
      <c r="G269" s="47"/>
      <c r="H269" s="47"/>
      <c r="I269" s="47"/>
      <c r="J269" s="47"/>
      <c r="K269" s="47"/>
      <c r="L269" s="47"/>
      <c r="M269" s="47"/>
      <c r="N269" s="47"/>
      <c r="O269" s="47"/>
      <c r="P269" s="47"/>
      <c r="Q269" s="47"/>
      <c r="R269" s="47"/>
      <c r="S269" s="47"/>
      <c r="T269" s="47"/>
      <c r="U269" s="47"/>
      <c r="V269" s="47"/>
      <c r="W269" s="47"/>
      <c r="X269" s="47"/>
      <c r="Y269" s="47"/>
      <c r="Z269" s="47"/>
      <c r="AA269" s="47"/>
      <c r="AB269" s="47"/>
      <c r="AC269" s="47"/>
      <c r="AD269" s="47"/>
      <c r="AE269" s="47"/>
      <c r="AF269" s="47"/>
      <c r="AG269" s="47"/>
      <c r="AH269" s="47"/>
      <c r="AI269" s="47"/>
      <c r="AJ269" s="47"/>
      <c r="AK269" s="47"/>
      <c r="AL269" s="47"/>
      <c r="AM269" s="47"/>
      <c r="AN269" s="47"/>
      <c r="AO269" s="47"/>
      <c r="AP269" s="47"/>
      <c r="AQ269" s="47"/>
      <c r="AR269" s="47"/>
      <c r="AS269" s="47"/>
      <c r="AT269" s="47"/>
      <c r="AU269" s="47"/>
      <c r="AV269" s="47"/>
      <c r="AW269" s="48"/>
      <c r="AX269" s="47"/>
    </row>
    <row r="270" spans="1:50" x14ac:dyDescent="0.25">
      <c r="A270" s="47"/>
      <c r="B270" s="147" t="s">
        <v>248</v>
      </c>
      <c r="C270" s="148"/>
      <c r="D270" s="148"/>
      <c r="E270" s="148"/>
      <c r="F270" s="148"/>
      <c r="G270" s="148"/>
      <c r="H270" s="148"/>
      <c r="I270" s="148"/>
      <c r="J270" s="148"/>
      <c r="K270" s="148"/>
      <c r="L270" s="148"/>
      <c r="M270" s="148"/>
      <c r="N270" s="148"/>
      <c r="O270" s="148"/>
      <c r="P270" s="148"/>
      <c r="Q270" s="148"/>
      <c r="R270" s="148"/>
      <c r="S270" s="148"/>
      <c r="T270" s="148"/>
      <c r="U270" s="148"/>
      <c r="V270" s="148"/>
      <c r="W270" s="148"/>
      <c r="X270" s="148"/>
      <c r="Y270" s="148"/>
      <c r="Z270" s="148"/>
      <c r="AA270" s="148"/>
      <c r="AB270" s="148"/>
      <c r="AC270" s="148"/>
      <c r="AD270" s="148"/>
      <c r="AE270" s="148"/>
      <c r="AF270" s="148"/>
      <c r="AG270" s="148"/>
      <c r="AH270" s="148"/>
      <c r="AI270" s="148"/>
      <c r="AJ270" s="148"/>
      <c r="AK270" s="148"/>
      <c r="AL270" s="71"/>
      <c r="AM270" s="71"/>
      <c r="AN270" s="71"/>
      <c r="AO270" s="71"/>
      <c r="AP270" s="71"/>
      <c r="AQ270" s="71"/>
      <c r="AR270" s="71"/>
      <c r="AS270" s="71"/>
      <c r="AT270" s="71"/>
      <c r="AU270" s="71"/>
      <c r="AV270" s="71"/>
      <c r="AW270" s="48"/>
      <c r="AX270" s="47"/>
    </row>
    <row r="271" spans="1:50" ht="3" customHeight="1" x14ac:dyDescent="0.25">
      <c r="A271" s="47"/>
      <c r="B271" s="51"/>
      <c r="C271" s="52"/>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48"/>
      <c r="AX271" s="47"/>
    </row>
    <row r="272" spans="1:50" ht="35.1" customHeight="1" x14ac:dyDescent="0.25">
      <c r="A272" s="47"/>
      <c r="B272" s="46"/>
      <c r="C272" s="144"/>
      <c r="D272" s="145"/>
      <c r="E272" s="145"/>
      <c r="F272" s="145"/>
      <c r="G272" s="145"/>
      <c r="H272" s="145"/>
      <c r="I272" s="145"/>
      <c r="J272" s="145"/>
      <c r="K272" s="145"/>
      <c r="L272" s="145"/>
      <c r="M272" s="145"/>
      <c r="N272" s="145"/>
      <c r="O272" s="145"/>
      <c r="P272" s="145"/>
      <c r="Q272" s="145"/>
      <c r="R272" s="145"/>
      <c r="S272" s="145"/>
      <c r="T272" s="145"/>
      <c r="U272" s="145"/>
      <c r="V272" s="145"/>
      <c r="W272" s="145"/>
      <c r="X272" s="145"/>
      <c r="Y272" s="145"/>
      <c r="Z272" s="145"/>
      <c r="AA272" s="145"/>
      <c r="AB272" s="145"/>
      <c r="AC272" s="145"/>
      <c r="AD272" s="145"/>
      <c r="AE272" s="145"/>
      <c r="AF272" s="145"/>
      <c r="AG272" s="145"/>
      <c r="AH272" s="145"/>
      <c r="AI272" s="145"/>
      <c r="AJ272" s="145"/>
      <c r="AK272" s="145"/>
      <c r="AL272" s="145"/>
      <c r="AM272" s="145"/>
      <c r="AN272" s="145"/>
      <c r="AO272" s="145"/>
      <c r="AP272" s="145"/>
      <c r="AQ272" s="145"/>
      <c r="AR272" s="145"/>
      <c r="AS272" s="145"/>
      <c r="AT272" s="145"/>
      <c r="AU272" s="146"/>
      <c r="AV272" s="47"/>
      <c r="AW272" s="48"/>
      <c r="AX272" s="47"/>
    </row>
    <row r="273" spans="1:50" ht="3" customHeight="1" x14ac:dyDescent="0.25">
      <c r="A273" s="47"/>
      <c r="B273" s="51"/>
      <c r="C273" s="52"/>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48"/>
      <c r="AX273" s="47"/>
    </row>
    <row r="274" spans="1:50" x14ac:dyDescent="0.25">
      <c r="A274" s="47"/>
      <c r="B274" s="147" t="s">
        <v>254</v>
      </c>
      <c r="C274" s="148"/>
      <c r="D274" s="148"/>
      <c r="E274" s="148"/>
      <c r="F274" s="148"/>
      <c r="G274" s="148"/>
      <c r="H274" s="148"/>
      <c r="I274" s="148"/>
      <c r="J274" s="148"/>
      <c r="K274" s="148"/>
      <c r="L274" s="148"/>
      <c r="M274" s="148"/>
      <c r="N274" s="148"/>
      <c r="O274" s="148"/>
      <c r="P274" s="148"/>
      <c r="Q274" s="148"/>
      <c r="R274" s="148"/>
      <c r="S274" s="148"/>
      <c r="T274" s="148"/>
      <c r="U274" s="148"/>
      <c r="V274" s="148"/>
      <c r="W274" s="148"/>
      <c r="X274" s="148"/>
      <c r="Y274" s="148"/>
      <c r="Z274" s="148"/>
      <c r="AA274" s="148"/>
      <c r="AB274" s="148"/>
      <c r="AC274" s="148"/>
      <c r="AD274" s="148"/>
      <c r="AE274" s="148"/>
      <c r="AF274" s="148"/>
      <c r="AG274" s="148"/>
      <c r="AH274" s="71"/>
      <c r="AI274" s="71"/>
      <c r="AJ274" s="71"/>
      <c r="AK274" s="71"/>
      <c r="AL274" s="71"/>
      <c r="AM274" s="71"/>
      <c r="AN274" s="71"/>
      <c r="AO274" s="71"/>
      <c r="AP274" s="71"/>
      <c r="AQ274" s="71"/>
      <c r="AR274" s="71"/>
      <c r="AS274" s="71"/>
      <c r="AT274" s="71"/>
      <c r="AU274" s="71"/>
      <c r="AV274" s="71"/>
      <c r="AW274" s="48"/>
      <c r="AX274" s="47"/>
    </row>
    <row r="275" spans="1:50" ht="35.1" customHeight="1" x14ac:dyDescent="0.25">
      <c r="A275" s="47"/>
      <c r="B275" s="70"/>
      <c r="C275" s="149"/>
      <c r="D275" s="150"/>
      <c r="E275" s="150"/>
      <c r="F275" s="150"/>
      <c r="G275" s="150"/>
      <c r="H275" s="150"/>
      <c r="I275" s="150"/>
      <c r="J275" s="150"/>
      <c r="K275" s="150"/>
      <c r="L275" s="150"/>
      <c r="M275" s="150"/>
      <c r="N275" s="150"/>
      <c r="O275" s="150"/>
      <c r="P275" s="150"/>
      <c r="Q275" s="150"/>
      <c r="R275" s="150"/>
      <c r="S275" s="150"/>
      <c r="T275" s="150"/>
      <c r="U275" s="150"/>
      <c r="V275" s="150"/>
      <c r="W275" s="150"/>
      <c r="X275" s="150"/>
      <c r="Y275" s="150"/>
      <c r="Z275" s="150"/>
      <c r="AA275" s="150"/>
      <c r="AB275" s="150"/>
      <c r="AC275" s="150"/>
      <c r="AD275" s="150"/>
      <c r="AE275" s="150"/>
      <c r="AF275" s="150"/>
      <c r="AG275" s="150"/>
      <c r="AH275" s="150"/>
      <c r="AI275" s="150"/>
      <c r="AJ275" s="150"/>
      <c r="AK275" s="150"/>
      <c r="AL275" s="150"/>
      <c r="AM275" s="150"/>
      <c r="AN275" s="150"/>
      <c r="AO275" s="150"/>
      <c r="AP275" s="150"/>
      <c r="AQ275" s="150"/>
      <c r="AR275" s="150"/>
      <c r="AS275" s="150"/>
      <c r="AT275" s="150"/>
      <c r="AU275" s="151"/>
      <c r="AV275" s="71"/>
      <c r="AW275" s="48"/>
      <c r="AX275" s="47"/>
    </row>
    <row r="276" spans="1:50" ht="3" customHeight="1" x14ac:dyDescent="0.25">
      <c r="A276" s="47"/>
      <c r="B276" s="51"/>
      <c r="C276" s="52"/>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48"/>
      <c r="AX276" s="47"/>
    </row>
    <row r="277" spans="1:50" x14ac:dyDescent="0.25">
      <c r="A277" s="47"/>
      <c r="B277" s="147" t="s">
        <v>259</v>
      </c>
      <c r="C277" s="148"/>
      <c r="D277" s="148"/>
      <c r="E277" s="148"/>
      <c r="F277" s="148"/>
      <c r="G277" s="148"/>
      <c r="H277" s="148"/>
      <c r="I277" s="148"/>
      <c r="J277" s="148"/>
      <c r="K277" s="148"/>
      <c r="L277" s="148"/>
      <c r="M277" s="148"/>
      <c r="N277" s="148"/>
      <c r="O277" s="148"/>
      <c r="P277" s="148"/>
      <c r="Q277" s="148"/>
      <c r="R277" s="148"/>
      <c r="S277" s="148"/>
      <c r="T277" s="148"/>
      <c r="U277" s="148"/>
      <c r="V277" s="148"/>
      <c r="W277" s="148"/>
      <c r="X277" s="148"/>
      <c r="Y277" s="148"/>
      <c r="Z277" s="148"/>
      <c r="AA277" s="148"/>
      <c r="AB277" s="148"/>
      <c r="AC277" s="148"/>
      <c r="AD277" s="148"/>
      <c r="AE277" s="148"/>
      <c r="AF277" s="148"/>
      <c r="AG277" s="148"/>
      <c r="AH277" s="71"/>
      <c r="AI277" s="71"/>
      <c r="AJ277" s="71"/>
      <c r="AK277" s="71"/>
      <c r="AL277" s="71"/>
      <c r="AM277" s="71"/>
      <c r="AN277" s="71"/>
      <c r="AO277" s="71"/>
      <c r="AP277" s="71"/>
      <c r="AQ277" s="71"/>
      <c r="AR277" s="71"/>
      <c r="AS277" s="71"/>
      <c r="AT277" s="71"/>
      <c r="AU277" s="71"/>
      <c r="AV277" s="71"/>
      <c r="AW277" s="48"/>
      <c r="AX277" s="47"/>
    </row>
    <row r="278" spans="1:50" ht="3" customHeight="1" x14ac:dyDescent="0.25">
      <c r="A278" s="47"/>
      <c r="B278" s="51"/>
      <c r="C278" s="52"/>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48"/>
      <c r="AX278" s="47"/>
    </row>
    <row r="279" spans="1:50" ht="35.1" customHeight="1" x14ac:dyDescent="0.25">
      <c r="A279" s="47"/>
      <c r="B279" s="46"/>
      <c r="C279" s="149"/>
      <c r="D279" s="150"/>
      <c r="E279" s="150"/>
      <c r="F279" s="150"/>
      <c r="G279" s="150"/>
      <c r="H279" s="150"/>
      <c r="I279" s="150"/>
      <c r="J279" s="150"/>
      <c r="K279" s="150"/>
      <c r="L279" s="150"/>
      <c r="M279" s="150"/>
      <c r="N279" s="150"/>
      <c r="O279" s="150"/>
      <c r="P279" s="150"/>
      <c r="Q279" s="150"/>
      <c r="R279" s="150"/>
      <c r="S279" s="150"/>
      <c r="T279" s="150"/>
      <c r="U279" s="150"/>
      <c r="V279" s="150"/>
      <c r="W279" s="150"/>
      <c r="X279" s="150"/>
      <c r="Y279" s="150"/>
      <c r="Z279" s="150"/>
      <c r="AA279" s="150"/>
      <c r="AB279" s="150"/>
      <c r="AC279" s="150"/>
      <c r="AD279" s="150"/>
      <c r="AE279" s="150"/>
      <c r="AF279" s="150"/>
      <c r="AG279" s="150"/>
      <c r="AH279" s="150"/>
      <c r="AI279" s="150"/>
      <c r="AJ279" s="150"/>
      <c r="AK279" s="150"/>
      <c r="AL279" s="150"/>
      <c r="AM279" s="150"/>
      <c r="AN279" s="150"/>
      <c r="AO279" s="150"/>
      <c r="AP279" s="150"/>
      <c r="AQ279" s="150"/>
      <c r="AR279" s="150"/>
      <c r="AS279" s="150"/>
      <c r="AT279" s="150"/>
      <c r="AU279" s="151"/>
      <c r="AV279" s="47"/>
      <c r="AW279" s="48"/>
      <c r="AX279" s="47"/>
    </row>
    <row r="280" spans="1:50" ht="3" customHeight="1" x14ac:dyDescent="0.25">
      <c r="A280" s="47"/>
      <c r="B280" s="51"/>
      <c r="C280" s="52"/>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48"/>
      <c r="AX280" s="47"/>
    </row>
    <row r="281" spans="1:50" x14ac:dyDescent="0.25">
      <c r="A281" s="47"/>
      <c r="B281" s="147" t="s">
        <v>262</v>
      </c>
      <c r="C281" s="148"/>
      <c r="D281" s="148"/>
      <c r="E281" s="148"/>
      <c r="F281" s="148"/>
      <c r="G281" s="148"/>
      <c r="H281" s="148"/>
      <c r="I281" s="148"/>
      <c r="J281" s="148"/>
      <c r="K281" s="148"/>
      <c r="L281" s="148"/>
      <c r="M281" s="148"/>
      <c r="N281" s="148"/>
      <c r="O281" s="148"/>
      <c r="P281" s="148"/>
      <c r="Q281" s="148"/>
      <c r="R281" s="148"/>
      <c r="S281" s="148"/>
      <c r="T281" s="148"/>
      <c r="U281" s="148"/>
      <c r="V281" s="148"/>
      <c r="W281" s="148"/>
      <c r="X281" s="148"/>
      <c r="Y281" s="148"/>
      <c r="Z281" s="148"/>
      <c r="AA281" s="148"/>
      <c r="AB281" s="148"/>
      <c r="AC281" s="148"/>
      <c r="AD281" s="148"/>
      <c r="AE281" s="148"/>
      <c r="AF281" s="148"/>
      <c r="AG281" s="71"/>
      <c r="AH281" s="71"/>
      <c r="AI281" s="71"/>
      <c r="AJ281" s="71"/>
      <c r="AK281" s="71"/>
      <c r="AL281" s="71"/>
      <c r="AM281" s="71"/>
      <c r="AN281" s="71"/>
      <c r="AO281" s="71"/>
      <c r="AP281" s="71"/>
      <c r="AQ281" s="71"/>
      <c r="AR281" s="71"/>
      <c r="AS281" s="71"/>
      <c r="AT281" s="71"/>
      <c r="AU281" s="71"/>
      <c r="AV281" s="71"/>
      <c r="AW281" s="48"/>
      <c r="AX281" s="47"/>
    </row>
    <row r="282" spans="1:50" ht="3" customHeight="1" x14ac:dyDescent="0.25">
      <c r="A282" s="47"/>
      <c r="B282" s="51"/>
      <c r="C282" s="52"/>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48"/>
      <c r="AX282" s="47"/>
    </row>
    <row r="283" spans="1:50" ht="35.1" customHeight="1" x14ac:dyDescent="0.25">
      <c r="A283" s="47"/>
      <c r="B283" s="51"/>
      <c r="C283" s="149"/>
      <c r="D283" s="150"/>
      <c r="E283" s="150"/>
      <c r="F283" s="150"/>
      <c r="G283" s="150"/>
      <c r="H283" s="150"/>
      <c r="I283" s="150"/>
      <c r="J283" s="150"/>
      <c r="K283" s="150"/>
      <c r="L283" s="150"/>
      <c r="M283" s="150"/>
      <c r="N283" s="150"/>
      <c r="O283" s="150"/>
      <c r="P283" s="150"/>
      <c r="Q283" s="150"/>
      <c r="R283" s="150"/>
      <c r="S283" s="150"/>
      <c r="T283" s="150"/>
      <c r="U283" s="150"/>
      <c r="V283" s="150"/>
      <c r="W283" s="150"/>
      <c r="X283" s="150"/>
      <c r="Y283" s="150"/>
      <c r="Z283" s="150"/>
      <c r="AA283" s="150"/>
      <c r="AB283" s="150"/>
      <c r="AC283" s="150"/>
      <c r="AD283" s="150"/>
      <c r="AE283" s="150"/>
      <c r="AF283" s="150"/>
      <c r="AG283" s="150"/>
      <c r="AH283" s="150"/>
      <c r="AI283" s="150"/>
      <c r="AJ283" s="150"/>
      <c r="AK283" s="150"/>
      <c r="AL283" s="150"/>
      <c r="AM283" s="150"/>
      <c r="AN283" s="150"/>
      <c r="AO283" s="150"/>
      <c r="AP283" s="150"/>
      <c r="AQ283" s="150"/>
      <c r="AR283" s="150"/>
      <c r="AS283" s="150"/>
      <c r="AT283" s="150"/>
      <c r="AU283" s="151"/>
      <c r="AV283" s="52"/>
      <c r="AW283" s="48"/>
      <c r="AX283" s="47"/>
    </row>
    <row r="284" spans="1:50" ht="3" customHeight="1" x14ac:dyDescent="0.25">
      <c r="A284" s="47"/>
      <c r="B284" s="51"/>
      <c r="C284" s="52"/>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48"/>
      <c r="AX284" s="47"/>
    </row>
    <row r="285" spans="1:50" x14ac:dyDescent="0.25">
      <c r="B285" s="1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2"/>
    </row>
    <row r="286" spans="1:50" ht="3" customHeight="1" x14ac:dyDescent="0.25"/>
    <row r="287" spans="1:50" ht="3" customHeight="1" x14ac:dyDescent="0.25"/>
    <row r="288" spans="1:50" x14ac:dyDescent="0.25">
      <c r="B288" s="152" t="s">
        <v>268</v>
      </c>
      <c r="C288" s="153"/>
      <c r="D288" s="153"/>
      <c r="E288" s="153"/>
      <c r="F288" s="153"/>
      <c r="G288" s="153"/>
      <c r="H288" s="153"/>
      <c r="I288" s="153"/>
      <c r="J288" s="153"/>
      <c r="K288" s="153"/>
      <c r="L288" s="153"/>
      <c r="M288" s="153"/>
      <c r="N288" s="153"/>
      <c r="O288" s="153"/>
      <c r="P288" s="153"/>
      <c r="Q288" s="153"/>
      <c r="R288" s="153"/>
      <c r="S288" s="153"/>
      <c r="T288" s="153"/>
      <c r="U288" s="153"/>
      <c r="V288" s="153"/>
      <c r="W288" s="153"/>
      <c r="X288" s="153"/>
      <c r="Y288" s="153"/>
      <c r="Z288" s="153"/>
      <c r="AA288" s="153"/>
      <c r="AB288" s="153"/>
      <c r="AC288" s="153"/>
      <c r="AD288" s="153"/>
      <c r="AE288" s="153"/>
      <c r="AF288" s="153"/>
      <c r="AG288" s="153"/>
      <c r="AH288" s="153"/>
      <c r="AI288" s="153"/>
      <c r="AJ288" s="153"/>
      <c r="AK288" s="153"/>
      <c r="AL288" s="153"/>
      <c r="AM288" s="153"/>
      <c r="AN288" s="153"/>
      <c r="AO288" s="153"/>
      <c r="AP288" s="153"/>
      <c r="AQ288" s="153"/>
      <c r="AR288" s="153"/>
      <c r="AS288" s="153"/>
      <c r="AT288" s="153"/>
      <c r="AU288" s="153"/>
      <c r="AV288" s="153"/>
      <c r="AW288" s="154"/>
    </row>
    <row r="289" spans="2:49" ht="3" customHeight="1" x14ac:dyDescent="0.25">
      <c r="B289" s="10"/>
      <c r="AW289" s="8"/>
    </row>
    <row r="290" spans="2:49" ht="3" customHeight="1" x14ac:dyDescent="0.25">
      <c r="B290" s="10"/>
      <c r="AW290" s="8"/>
    </row>
    <row r="291" spans="2:49" ht="78" customHeight="1" x14ac:dyDescent="0.25">
      <c r="B291" s="10"/>
      <c r="D291" s="135" t="s">
        <v>270</v>
      </c>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c r="AA291" s="135"/>
      <c r="AB291" s="135"/>
      <c r="AC291" s="135"/>
      <c r="AD291" s="135"/>
      <c r="AE291" s="135"/>
      <c r="AF291" s="135"/>
      <c r="AG291" s="135"/>
      <c r="AH291" s="135"/>
      <c r="AI291" s="135"/>
      <c r="AJ291" s="135"/>
      <c r="AK291" s="135"/>
      <c r="AL291" s="135"/>
      <c r="AM291" s="135"/>
      <c r="AN291" s="135"/>
      <c r="AO291" s="135"/>
      <c r="AP291" s="135"/>
      <c r="AQ291" s="135"/>
      <c r="AR291" s="135"/>
      <c r="AS291" s="135"/>
      <c r="AW291" s="8"/>
    </row>
    <row r="292" spans="2:49" ht="3" customHeight="1" x14ac:dyDescent="0.25">
      <c r="B292" s="10"/>
      <c r="AW292" s="8"/>
    </row>
    <row r="293" spans="2:49" ht="3" customHeight="1" x14ac:dyDescent="0.25">
      <c r="B293" s="10"/>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8"/>
    </row>
    <row r="294" spans="2:49" x14ac:dyDescent="0.25">
      <c r="B294" s="35" t="s">
        <v>219</v>
      </c>
      <c r="C294" s="36"/>
      <c r="D294" s="36"/>
      <c r="E294" s="36"/>
      <c r="F294" s="36"/>
      <c r="G294" s="36"/>
      <c r="H294" s="36"/>
      <c r="I294" s="36"/>
      <c r="J294" s="36"/>
      <c r="K294" s="36"/>
      <c r="L294" s="36"/>
      <c r="M294" s="36"/>
      <c r="N294" s="36"/>
      <c r="O294" s="36"/>
      <c r="P294" s="36"/>
      <c r="Q294" s="36"/>
      <c r="R294" s="36"/>
      <c r="S294" s="36"/>
      <c r="T294" s="36"/>
      <c r="V294" s="36" t="s">
        <v>269</v>
      </c>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8"/>
    </row>
    <row r="295" spans="2:49" ht="3" customHeight="1" thickBot="1" x14ac:dyDescent="0.3">
      <c r="B295" s="35"/>
      <c r="C295" s="36"/>
      <c r="D295" s="36"/>
      <c r="E295" s="36"/>
      <c r="F295" s="36"/>
      <c r="G295" s="36"/>
      <c r="H295" s="36"/>
      <c r="I295" s="36"/>
      <c r="J295" s="36"/>
      <c r="K295" s="36"/>
      <c r="L295" s="36"/>
      <c r="M295" s="36"/>
      <c r="N295" s="36"/>
      <c r="O295" s="36"/>
      <c r="P295" s="36"/>
      <c r="Q295" s="36"/>
      <c r="R295" s="36"/>
      <c r="S295" s="36"/>
      <c r="T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8"/>
    </row>
    <row r="296" spans="2:49" ht="21" customHeight="1" x14ac:dyDescent="0.25">
      <c r="B296" s="35"/>
      <c r="C296" s="136"/>
      <c r="D296" s="137"/>
      <c r="E296" s="137"/>
      <c r="F296" s="137"/>
      <c r="G296" s="137"/>
      <c r="H296" s="137"/>
      <c r="I296" s="137"/>
      <c r="J296" s="137"/>
      <c r="K296" s="137"/>
      <c r="L296" s="137"/>
      <c r="M296" s="137"/>
      <c r="N296" s="137"/>
      <c r="O296" s="137"/>
      <c r="P296" s="137"/>
      <c r="Q296" s="137"/>
      <c r="R296" s="137"/>
      <c r="S296" s="137"/>
      <c r="T296" s="138"/>
      <c r="V296" s="139"/>
      <c r="W296" s="139"/>
      <c r="X296" s="139"/>
      <c r="Y296" s="139"/>
      <c r="Z296" s="139"/>
      <c r="AA296" s="139"/>
      <c r="AB296" s="139"/>
      <c r="AC296" s="139"/>
      <c r="AD296" s="139"/>
      <c r="AE296" s="139"/>
      <c r="AF296" s="139"/>
      <c r="AG296" s="139"/>
      <c r="AH296" s="139"/>
      <c r="AI296" s="139"/>
      <c r="AJ296" s="139"/>
      <c r="AK296" s="139"/>
      <c r="AL296" s="139"/>
      <c r="AM296" s="139"/>
      <c r="AN296" s="139"/>
      <c r="AO296" s="139"/>
      <c r="AP296" s="139"/>
      <c r="AQ296" s="139"/>
      <c r="AR296" s="139"/>
      <c r="AS296" s="139"/>
      <c r="AT296" s="139"/>
      <c r="AU296" s="139"/>
      <c r="AV296" s="139"/>
      <c r="AW296" s="8"/>
    </row>
    <row r="297" spans="2:49" ht="11.25" customHeight="1" x14ac:dyDescent="0.25">
      <c r="B297" s="1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2"/>
    </row>
  </sheetData>
  <sheetProtection algorithmName="SHA-512" hashValue="WOov0mD1wTEP5ImdEHvOM4EYaA+kE6iXpcTwZxxT796sopErSiDS4Rhx6hAPjuiLep8nFenZbtF5r/zv/IMbkQ==" saltValue="Bzzt0LHkNwqU9TA1+89bmQ==" spinCount="100000" sheet="1" selectLockedCells="1"/>
  <mergeCells count="206">
    <mergeCell ref="O14:P14"/>
    <mergeCell ref="Q14:AV14"/>
    <mergeCell ref="E195:AV196"/>
    <mergeCell ref="B173:AV173"/>
    <mergeCell ref="B175:AV175"/>
    <mergeCell ref="E198:AV199"/>
    <mergeCell ref="E191:AV193"/>
    <mergeCell ref="H98:Z98"/>
    <mergeCell ref="AB98:AT98"/>
    <mergeCell ref="C106:AU106"/>
    <mergeCell ref="H51:Z51"/>
    <mergeCell ref="L100:AD100"/>
    <mergeCell ref="B74:AU74"/>
    <mergeCell ref="B93:AV93"/>
    <mergeCell ref="AT95:AV95"/>
    <mergeCell ref="T95:Z95"/>
    <mergeCell ref="AI63:AJ63"/>
    <mergeCell ref="AI61:AV61"/>
    <mergeCell ref="B86:AV86"/>
    <mergeCell ref="B88:AV88"/>
    <mergeCell ref="B90:AV90"/>
    <mergeCell ref="AF61:AG61"/>
    <mergeCell ref="B246:AV247"/>
    <mergeCell ref="B222:N224"/>
    <mergeCell ref="O222:AV222"/>
    <mergeCell ref="B218:AW218"/>
    <mergeCell ref="O224:AV224"/>
    <mergeCell ref="G229:AV229"/>
    <mergeCell ref="G231:AV231"/>
    <mergeCell ref="G233:AV233"/>
    <mergeCell ref="Q220:AV220"/>
    <mergeCell ref="V236:AV236"/>
    <mergeCell ref="V234:AV234"/>
    <mergeCell ref="C236:T236"/>
    <mergeCell ref="F226:J226"/>
    <mergeCell ref="O226:T226"/>
    <mergeCell ref="V226:X226"/>
    <mergeCell ref="Y226:AV226"/>
    <mergeCell ref="B243:AV243"/>
    <mergeCell ref="B244:AV245"/>
    <mergeCell ref="B239:AW239"/>
    <mergeCell ref="B241:AV242"/>
    <mergeCell ref="AI108:AS108"/>
    <mergeCell ref="L108:V108"/>
    <mergeCell ref="L110:V110"/>
    <mergeCell ref="L112:V112"/>
    <mergeCell ref="AI110:AS110"/>
    <mergeCell ref="AI112:AS112"/>
    <mergeCell ref="AI114:AS114"/>
    <mergeCell ref="L114:V114"/>
    <mergeCell ref="L116:V116"/>
    <mergeCell ref="AI116:AS116"/>
    <mergeCell ref="E205:AV205"/>
    <mergeCell ref="E215:AV215"/>
    <mergeCell ref="R136:V136"/>
    <mergeCell ref="O138:S138"/>
    <mergeCell ref="AJ138:AN138"/>
    <mergeCell ref="P140:W140"/>
    <mergeCell ref="E189:AE190"/>
    <mergeCell ref="E208:AV209"/>
    <mergeCell ref="AF190:AG190"/>
    <mergeCell ref="T148:AA148"/>
    <mergeCell ref="U150:AB150"/>
    <mergeCell ref="R144:Y144"/>
    <mergeCell ref="T146:AA146"/>
    <mergeCell ref="B153:AW153"/>
    <mergeCell ref="B187:AW187"/>
    <mergeCell ref="B181:AW181"/>
    <mergeCell ref="Y31:AE31"/>
    <mergeCell ref="AG31:AN31"/>
    <mergeCell ref="V252:AV252"/>
    <mergeCell ref="C254:T254"/>
    <mergeCell ref="V254:AV254"/>
    <mergeCell ref="AB49:AF49"/>
    <mergeCell ref="AH49:AJ49"/>
    <mergeCell ref="AO47:AV49"/>
    <mergeCell ref="U57:AV57"/>
    <mergeCell ref="AD59:AE59"/>
    <mergeCell ref="L55:O55"/>
    <mergeCell ref="L95:S95"/>
    <mergeCell ref="AB51:AF51"/>
    <mergeCell ref="AH51:AJ51"/>
    <mergeCell ref="B72:AW72"/>
    <mergeCell ref="AK63:AV63"/>
    <mergeCell ref="B67:F68"/>
    <mergeCell ref="S67:V67"/>
    <mergeCell ref="AK67:AN67"/>
    <mergeCell ref="AN65:AS65"/>
    <mergeCell ref="Q65:V65"/>
    <mergeCell ref="H47:T47"/>
    <mergeCell ref="B82:AV82"/>
    <mergeCell ref="R57:S57"/>
    <mergeCell ref="B132:AW132"/>
    <mergeCell ref="R134:V134"/>
    <mergeCell ref="K125:R125"/>
    <mergeCell ref="AL127:AM127"/>
    <mergeCell ref="AI118:AS118"/>
    <mergeCell ref="AS38:AU38"/>
    <mergeCell ref="AM43:AT43"/>
    <mergeCell ref="AQ22:AR22"/>
    <mergeCell ref="N16:AV16"/>
    <mergeCell ref="B27:AV27"/>
    <mergeCell ref="F24:J24"/>
    <mergeCell ref="B47:G51"/>
    <mergeCell ref="AK36:AL36"/>
    <mergeCell ref="AM36:AN36"/>
    <mergeCell ref="AP36:AR36"/>
    <mergeCell ref="AS36:AU36"/>
    <mergeCell ref="AK38:AL38"/>
    <mergeCell ref="H49:Z49"/>
    <mergeCell ref="V29:W29"/>
    <mergeCell ref="AO41:AT41"/>
    <mergeCell ref="AU41:AV41"/>
    <mergeCell ref="AU43:AV43"/>
    <mergeCell ref="V24:X24"/>
    <mergeCell ref="Y24:AV24"/>
    <mergeCell ref="B7:AW8"/>
    <mergeCell ref="AR20:AV20"/>
    <mergeCell ref="AL20:AQ20"/>
    <mergeCell ref="AD33:AE33"/>
    <mergeCell ref="L118:V118"/>
    <mergeCell ref="K18:Q18"/>
    <mergeCell ref="AC18:AI18"/>
    <mergeCell ref="AN22:AO22"/>
    <mergeCell ref="AK22:AM22"/>
    <mergeCell ref="B84:AV84"/>
    <mergeCell ref="B76:AV76"/>
    <mergeCell ref="X36:Y36"/>
    <mergeCell ref="AC36:AE36"/>
    <mergeCell ref="AF36:AH36"/>
    <mergeCell ref="X38:Y38"/>
    <mergeCell ref="Z38:AA38"/>
    <mergeCell ref="AC38:AE38"/>
    <mergeCell ref="AF38:AH38"/>
    <mergeCell ref="AB47:AF47"/>
    <mergeCell ref="Z36:AA36"/>
    <mergeCell ref="O24:T24"/>
    <mergeCell ref="AM38:AN38"/>
    <mergeCell ref="AP38:AR38"/>
    <mergeCell ref="AI20:AK20"/>
    <mergeCell ref="B249:AV250"/>
    <mergeCell ref="E206:AV206"/>
    <mergeCell ref="AT51:AV51"/>
    <mergeCell ref="AH47:AJ47"/>
    <mergeCell ref="B36:F38"/>
    <mergeCell ref="AL125:AS125"/>
    <mergeCell ref="B10:AV10"/>
    <mergeCell ref="N129:R129"/>
    <mergeCell ref="L2:AS4"/>
    <mergeCell ref="B122:AW122"/>
    <mergeCell ref="B121:AW121"/>
    <mergeCell ref="L5:AV5"/>
    <mergeCell ref="T29:U29"/>
    <mergeCell ref="I41:AN41"/>
    <mergeCell ref="S38:U38"/>
    <mergeCell ref="X29:AB29"/>
    <mergeCell ref="I43:AH43"/>
    <mergeCell ref="AC29:AE29"/>
    <mergeCell ref="AG29:AK29"/>
    <mergeCell ref="AL29:AN29"/>
    <mergeCell ref="T36:U36"/>
    <mergeCell ref="AR33:AS33"/>
    <mergeCell ref="AE100:AR100"/>
    <mergeCell ref="B102:AW102"/>
    <mergeCell ref="D291:AS291"/>
    <mergeCell ref="C296:T296"/>
    <mergeCell ref="V296:AV296"/>
    <mergeCell ref="E257:AS259"/>
    <mergeCell ref="B260:AV260"/>
    <mergeCell ref="C268:AU268"/>
    <mergeCell ref="C272:AU272"/>
    <mergeCell ref="B274:AG274"/>
    <mergeCell ref="C275:AU275"/>
    <mergeCell ref="B277:AG277"/>
    <mergeCell ref="C279:AU279"/>
    <mergeCell ref="B281:AF281"/>
    <mergeCell ref="C283:AU283"/>
    <mergeCell ref="B288:AW288"/>
    <mergeCell ref="B262:AW263"/>
    <mergeCell ref="B264:AW264"/>
    <mergeCell ref="B266:AN266"/>
    <mergeCell ref="B270:AK270"/>
    <mergeCell ref="AL12:AM12"/>
    <mergeCell ref="J12:N12"/>
    <mergeCell ref="E201:AV203"/>
    <mergeCell ref="AB185:AW185"/>
    <mergeCell ref="B185:AA185"/>
    <mergeCell ref="B184:AA184"/>
    <mergeCell ref="B157:AV158"/>
    <mergeCell ref="B155:AV155"/>
    <mergeCell ref="B183:AA183"/>
    <mergeCell ref="B167:AV167"/>
    <mergeCell ref="B162:AV163"/>
    <mergeCell ref="T22:AI22"/>
    <mergeCell ref="B169:AV169"/>
    <mergeCell ref="B103:AV103"/>
    <mergeCell ref="AS100:AV100"/>
    <mergeCell ref="Y125:AK125"/>
    <mergeCell ref="H127:R127"/>
    <mergeCell ref="AS22:AV22"/>
    <mergeCell ref="E22:N22"/>
    <mergeCell ref="G20:AD20"/>
    <mergeCell ref="AE20:AH20"/>
    <mergeCell ref="E18:F18"/>
    <mergeCell ref="P22:S22"/>
    <mergeCell ref="P142:W142"/>
  </mergeCells>
  <conditionalFormatting sqref="A36:A38">
    <cfRule type="expression" dxfId="63" priority="57">
      <formula>$E$18="B"</formula>
    </cfRule>
  </conditionalFormatting>
  <conditionalFormatting sqref="A38">
    <cfRule type="expression" dxfId="62" priority="89">
      <formula>Grupo="B"</formula>
    </cfRule>
  </conditionalFormatting>
  <conditionalFormatting sqref="A106:A118">
    <cfRule type="expression" dxfId="61" priority="55">
      <formula>$L$95=""</formula>
    </cfRule>
  </conditionalFormatting>
  <conditionalFormatting sqref="A257:XFD298">
    <cfRule type="expression" dxfId="60" priority="30">
      <formula>$L$95&lt;&gt;"Hidráulica"</formula>
    </cfRule>
  </conditionalFormatting>
  <conditionalFormatting sqref="B106:AU107 B108:L108 W108:AI108 AT108:AU108 B109:AU109 B110:L110 W110:AI110 AT110:AU110 B111:AU111 B112:L112 W112:AI112 AT112:AU112 B113:AU113 B114:L114 W114:AI114 AT114:AU114 B115:AU115 B116:L116 W116:AI116 AT116:AU116 B117:AU117 B118:L118 Y118:AI118 AT118:AU118 B119:AU119 B120:O120 W120:AU120">
    <cfRule type="expression" dxfId="59" priority="32">
      <formula>$L$95=""</formula>
    </cfRule>
  </conditionalFormatting>
  <conditionalFormatting sqref="B36:AV38">
    <cfRule type="expression" dxfId="58" priority="37">
      <formula>$E$18="B"</formula>
    </cfRule>
  </conditionalFormatting>
  <conditionalFormatting sqref="B7:AW8">
    <cfRule type="cellIs" dxfId="57" priority="97" operator="notEqual">
      <formula>""</formula>
    </cfRule>
  </conditionalFormatting>
  <conditionalFormatting sqref="B239:AW255">
    <cfRule type="expression" dxfId="56" priority="4">
      <formula>$AL$12&lt;&gt;"Sim"</formula>
    </cfRule>
  </conditionalFormatting>
  <conditionalFormatting sqref="B262:AW263">
    <cfRule type="cellIs" dxfId="55" priority="31" operator="notEqual">
      <formula>""</formula>
    </cfRule>
  </conditionalFormatting>
  <conditionalFormatting sqref="C206 C208:C209 C211">
    <cfRule type="expression" dxfId="54" priority="8">
      <formula>OR(AND($C$206="X",$C$208="X"),AND($C$206="X",$C$211="X"),AND($C$208="X",$C$211="X"))</formula>
    </cfRule>
  </conditionalFormatting>
  <conditionalFormatting sqref="C136:AR150">
    <cfRule type="expression" dxfId="53" priority="27">
      <formula>$R$134&lt;&gt;"Sim"</formula>
    </cfRule>
  </conditionalFormatting>
  <conditionalFormatting sqref="C106:AU106">
    <cfRule type="expression" dxfId="52" priority="87">
      <formula>$C$106=""</formula>
    </cfRule>
  </conditionalFormatting>
  <conditionalFormatting sqref="G66:AP68">
    <cfRule type="expression" dxfId="50" priority="19">
      <formula>$E$18&lt;&gt;"A"</formula>
    </cfRule>
  </conditionalFormatting>
  <conditionalFormatting sqref="H18:Q18">
    <cfRule type="expression" dxfId="49" priority="7">
      <formula>$J$12&lt;&gt;""</formula>
    </cfRule>
  </conditionalFormatting>
  <conditionalFormatting sqref="L118:V118">
    <cfRule type="expression" dxfId="48" priority="5">
      <formula>$L$95&lt;&gt;"Solar"</formula>
    </cfRule>
  </conditionalFormatting>
  <conditionalFormatting sqref="M138:AP138">
    <cfRule type="expression" dxfId="46" priority="26">
      <formula>$R$136&lt;&gt;"Sim"</formula>
    </cfRule>
  </conditionalFormatting>
  <conditionalFormatting sqref="O14:P14">
    <cfRule type="expression" dxfId="45" priority="1">
      <formula>AND($AL$12="Sim",$O$14="Sim")</formula>
    </cfRule>
  </conditionalFormatting>
  <conditionalFormatting sqref="T95:Z95">
    <cfRule type="expression" dxfId="40" priority="107">
      <formula>$L$95&lt;&gt;"Outra (especificar)"</formula>
    </cfRule>
  </conditionalFormatting>
  <conditionalFormatting sqref="U57:AV57">
    <cfRule type="expression" dxfId="39" priority="49">
      <formula>$U$57="&lt;-- Para SE Nº 1 não pode haver mudança de local do Padrão de Entrada. Altere"</formula>
    </cfRule>
  </conditionalFormatting>
  <conditionalFormatting sqref="X36:AH36">
    <cfRule type="expression" dxfId="38" priority="45">
      <formula>AND(OR($T$36="Nº 2",$T$36="Nº 4"),$S$38=1)</formula>
    </cfRule>
  </conditionalFormatting>
  <conditionalFormatting sqref="X36:AU38">
    <cfRule type="expression" dxfId="37" priority="40">
      <formula>$S$38=""</formula>
    </cfRule>
    <cfRule type="expression" dxfId="36" priority="58">
      <formula>OR($T$36="Nº 1",$T$36="Nº 5",$T$36="Nº 8")</formula>
    </cfRule>
  </conditionalFormatting>
  <conditionalFormatting sqref="AB49:AF49">
    <cfRule type="expression" dxfId="30" priority="35">
      <formula>$H$49=""</formula>
    </cfRule>
  </conditionalFormatting>
  <conditionalFormatting sqref="AB51:AF51 AH51:AX51">
    <cfRule type="expression" dxfId="29" priority="112">
      <formula>$H$51=""</formula>
    </cfRule>
  </conditionalFormatting>
  <conditionalFormatting sqref="AB47:AK47">
    <cfRule type="expression" dxfId="28" priority="48">
      <formula>$H$47=" Relé de Proteção Secundária"</formula>
    </cfRule>
  </conditionalFormatting>
  <conditionalFormatting sqref="AG33:AT33">
    <cfRule type="expression" dxfId="25" priority="6">
      <formula>$AD$33="Não"</formula>
    </cfRule>
  </conditionalFormatting>
  <conditionalFormatting sqref="AH49:AJ49">
    <cfRule type="expression" dxfId="24" priority="111">
      <formula>$H$49=""</formula>
    </cfRule>
  </conditionalFormatting>
  <conditionalFormatting sqref="AH49:AK49">
    <cfRule type="expression" dxfId="23" priority="50">
      <formula>OR($AB$49="Sem Disj. Geral",$AB$49="Sem Alter. Carga",)</formula>
    </cfRule>
  </conditionalFormatting>
  <conditionalFormatting sqref="AH51:AV51">
    <cfRule type="expression" dxfId="22" priority="51">
      <formula>$AB$51="Sem Disj. Geral"</formula>
    </cfRule>
  </conditionalFormatting>
  <conditionalFormatting sqref="AI112 AI114">
    <cfRule type="expression" dxfId="21" priority="56">
      <formula>OR($L$95="Biomassa",$L$95="Cogeração Qualificada",$L$95="Eólica")</formula>
    </cfRule>
  </conditionalFormatting>
  <conditionalFormatting sqref="AI114">
    <cfRule type="expression" dxfId="20" priority="33">
      <formula>$L$95="Hidráulica"</formula>
    </cfRule>
  </conditionalFormatting>
  <conditionalFormatting sqref="AI116">
    <cfRule type="expression" dxfId="19" priority="15">
      <formula>$L$95="Hidráulica"</formula>
    </cfRule>
    <cfRule type="expression" dxfId="18" priority="16">
      <formula>OR($L$95="Biomassa",$L$95="Cogeração Qualificada",$L$95="Eólica")</formula>
    </cfRule>
  </conditionalFormatting>
  <conditionalFormatting sqref="AI118">
    <cfRule type="expression" dxfId="17" priority="13">
      <formula>$L$95="Hidráulica"</formula>
    </cfRule>
    <cfRule type="expression" dxfId="16" priority="14">
      <formula>OR($L$95="Biomassa",$L$95="Cogeração Qualificada",$L$95="Eólica")</formula>
    </cfRule>
  </conditionalFormatting>
  <conditionalFormatting sqref="AI112:AS118">
    <cfRule type="expression" dxfId="15" priority="11">
      <formula>OR($L$95="Biomassa",$L$95="Cogeração Qualificada",$L$95="Eólica")</formula>
    </cfRule>
  </conditionalFormatting>
  <conditionalFormatting sqref="AI116:AS118">
    <cfRule type="expression" dxfId="14" priority="12">
      <formula>$L$95="Hidráulica"</formula>
    </cfRule>
  </conditionalFormatting>
  <conditionalFormatting sqref="AJ113:AU113">
    <cfRule type="expression" dxfId="13" priority="70">
      <formula>TipoFonte="Cogeração Qualificada"</formula>
    </cfRule>
    <cfRule type="expression" dxfId="12" priority="73">
      <formula>TipoFonte = "Eólica"</formula>
    </cfRule>
    <cfRule type="expression" dxfId="11" priority="74">
      <formula>TipoFonte = "Biomassa"</formula>
    </cfRule>
    <cfRule type="expression" dxfId="10" priority="75">
      <formula>TipoFonte = "Hidráulica"</formula>
    </cfRule>
  </conditionalFormatting>
  <conditionalFormatting sqref="AK36:AU36">
    <cfRule type="expression" dxfId="9" priority="43">
      <formula>AND(OR($T$36="Nº 2",$T$36="Nº 4"),$S$38&lt;=2)</formula>
    </cfRule>
  </conditionalFormatting>
  <conditionalFormatting sqref="AK38:AU38">
    <cfRule type="expression" dxfId="8" priority="41">
      <formula>AND(OR($T$36="Nº 2",$T$36="Nº 4"),$S$38&lt;=3)</formula>
    </cfRule>
  </conditionalFormatting>
  <conditionalFormatting sqref="AL12:AM12">
    <cfRule type="expression" dxfId="7" priority="2">
      <formula>AND($AL$12="Sim",$O$14="Sim")</formula>
    </cfRule>
  </conditionalFormatting>
  <conditionalFormatting sqref="AO115:AU115">
    <cfRule type="expression" dxfId="5" priority="78">
      <formula>TipoFonte="Biomassa"</formula>
    </cfRule>
    <cfRule type="expression" dxfId="4" priority="77">
      <formula>TipoFonte = "Eólica"</formula>
    </cfRule>
  </conditionalFormatting>
  <conditionalFormatting sqref="AU41:AV41 AU43:AV43">
    <cfRule type="expression" dxfId="0" priority="102">
      <formula>$AO$41=""</formula>
    </cfRule>
  </conditionalFormatting>
  <dataValidations count="34">
    <dataValidation type="list" allowBlank="1" showInputMessage="1" showErrorMessage="1" sqref="I44" xr:uid="{00000000-0002-0000-0000-000001000000}">
      <formula1>"Edificação Individual,Edificação Coletiva ou Agrupamento"</formula1>
    </dataValidation>
    <dataValidation type="list" allowBlank="1" showInputMessage="1" showErrorMessage="1" sqref="X56" xr:uid="{00000000-0002-0000-0000-000002000000}">
      <formula1>"Aéreo,Subterrâneo"</formula1>
    </dataValidation>
    <dataValidation type="whole" operator="greaterThan" allowBlank="1" showInputMessage="1" showErrorMessage="1" prompt="Apenas números" sqref="AC18:AI19" xr:uid="{00000000-0002-0000-0000-000005000000}">
      <formula1>0</formula1>
    </dataValidation>
    <dataValidation type="whole" allowBlank="1" showInputMessage="1" showErrorMessage="1" errorTitle="Valor não permitido" error="O número deve estar entre 7000000000 e 7999999999" promptTitle="Número do Cliente" prompt="Número de identificação do consumidor na distribuidora. É iniciado, sempre, pelo dígito 7" sqref="I12:I13" xr:uid="{00000000-0002-0000-0000-000006000000}">
      <formula1>7000000000</formula1>
      <formula2>7999999999</formula2>
    </dataValidation>
    <dataValidation type="whole" allowBlank="1" showInputMessage="1" showErrorMessage="1" promptTitle="Número de instalação" prompt="Número de identificação da unidade consumidora na distribuidora. É iniciado, sempre, pelo dígito 3._x000a__x000a_Se ligação nova, não preencher este campo." sqref="Q65 J12:J13" xr:uid="{00000000-0002-0000-0000-000007000000}">
      <formula1>3000000000</formula1>
      <formula2>3999999999</formula2>
    </dataValidation>
    <dataValidation type="list" allowBlank="1" showInputMessage="1" showErrorMessage="1" sqref="AN22:AO22" xr:uid="{00000000-0002-0000-0000-000008000000}">
      <formula1>"MG"</formula1>
    </dataValidation>
    <dataValidation type="list" allowBlank="1" showInputMessage="1" showErrorMessage="1" sqref="K18" xr:uid="{00000000-0002-0000-0000-000009000000}">
      <formula1>"Residencial,Industrial,Comercial,Rural,Poder Público,Iluminação Pública,Serviço Público"</formula1>
    </dataValidation>
    <dataValidation type="list" allowBlank="1" showInputMessage="1" showErrorMessage="1" promptTitle="Grupo de Tensão" prompt="A - Clientes Atendidos em Média e Alta Tensão_x000a_B - Clientes Atendidos em Baixa Tensão e Iluminação Pública" sqref="E18:F18" xr:uid="{00000000-0002-0000-0000-00000A000000}">
      <formula1>"A,B"</formula1>
    </dataValidation>
    <dataValidation type="list" allowBlank="1" showInputMessage="1" showErrorMessage="1" sqref="AH30:AI30 V29:W29" xr:uid="{00000000-0002-0000-0000-00000B000000}">
      <formula1>"22,23,24"</formula1>
    </dataValidation>
    <dataValidation type="list" allowBlank="1" showInputMessage="1" showErrorMessage="1" sqref="T36:U36" xr:uid="{00000000-0002-0000-0000-00000E000000}">
      <formula1>"Nº 1,Nº 2,Nº 4,Nº 5,Nº 8"</formula1>
    </dataValidation>
    <dataValidation allowBlank="1" showInputMessage="1" showErrorMessage="1" prompt="GGG.FF.UF.999999-9.VV" sqref="K125:R125" xr:uid="{00000000-0002-0000-0000-000010000000}"/>
    <dataValidation allowBlank="1" showInputMessage="1" showErrorMessage="1" prompt="Instalação geradora + Instalações recebedoras" sqref="AS100:AV100" xr:uid="{00000000-0002-0000-0000-000011000000}"/>
    <dataValidation type="whole" allowBlank="1" showInputMessage="1" showErrorMessage="1" prompt="Apenas números" sqref="AS22:AV22" xr:uid="{00000000-0002-0000-0000-000012000000}">
      <formula1>0</formula1>
      <formula2>99999999</formula2>
    </dataValidation>
    <dataValidation type="whole" errorStyle="warning" allowBlank="1" showInputMessage="1" showErrorMessage="1" errorTitle="Informar telefone" error="Informe o telefone com 10 dígitos" promptTitle="Telefone" prompt="Informe apenas os números de seu telefone com o DDD" sqref="F24:J24 F226:J227" xr:uid="{00000000-0002-0000-0000-000013000000}">
      <formula1>1000000000</formula1>
      <formula2>9999999999</formula2>
    </dataValidation>
    <dataValidation type="whole" allowBlank="1" showInputMessage="1" showErrorMessage="1" promptTitle="Celular" prompt="Informe apenas os números de seu celular com o DDD" sqref="O24:T24 O226:T227" xr:uid="{00000000-0002-0000-0000-000014000000}">
      <formula1>10000000000</formula1>
      <formula2>99999999999</formula2>
    </dataValidation>
    <dataValidation type="list" allowBlank="1" showInputMessage="1" showErrorMessage="1" sqref="I43:AH43" xr:uid="{43C958B2-6E6C-496F-8414-07EC81994C3E}">
      <formula1>Tipos_Edificações</formula1>
    </dataValidation>
    <dataValidation type="list" allowBlank="1" showInputMessage="1" showErrorMessage="1" sqref="I41:AN41" xr:uid="{3948EA52-3C56-4B8A-A6FF-9CC4A6D61EF3}">
      <formula1>Tipos_Solicitação</formula1>
    </dataValidation>
    <dataValidation type="decimal" allowBlank="1" showInputMessage="1" showErrorMessage="1" promptTitle="Atenção" prompt="Campo com preenchimento automático." sqref="AT95:AV95" xr:uid="{27FB734E-82D4-4996-A40B-F666D0BA1041}">
      <formula1>0</formula1>
      <formula2>75</formula2>
    </dataValidation>
    <dataValidation type="list" allowBlank="1" showInputMessage="1" showErrorMessage="1" sqref="AB51:AF51" xr:uid="{0822EF6E-60CD-4556-9ACA-BE9304619DE3}">
      <formula1>Fases_Disjuntor_2</formula1>
    </dataValidation>
    <dataValidation type="list" allowBlank="1" showInputMessage="1" showErrorMessage="1" sqref="AH47:AJ47" xr:uid="{1A6B0939-BCD5-4A12-8268-3404DDFD44B2}">
      <formula1>IF(Grupo="B",IF(Cod_Solicitação=4,TblDisj_2,TblDisj),TblDisj)</formula1>
    </dataValidation>
    <dataValidation type="list" allowBlank="1" showInputMessage="1" showErrorMessage="1" sqref="AH49:AJ49" xr:uid="{6722B8EE-A8EE-40E2-9208-D9A383DBEEF6}">
      <formula1>TblDisj_2</formula1>
    </dataValidation>
    <dataValidation type="list" allowBlank="1" showInputMessage="1" showErrorMessage="1" sqref="AH51:AJ51" xr:uid="{B6FE2FD7-5FF2-4F0A-A4C6-771E5BC70106}">
      <formula1>TblDisj_3</formula1>
    </dataValidation>
    <dataValidation type="whole" allowBlank="1" showInputMessage="1" showErrorMessage="1" sqref="AC29:AE29" xr:uid="{CD69C790-0998-42FC-9CAA-B7565A1C9D45}">
      <formula1>E_Mínimo</formula1>
      <formula2>E_Máximo</formula2>
    </dataValidation>
    <dataValidation type="whole" allowBlank="1" showInputMessage="1" showErrorMessage="1" sqref="AL29:AN29" xr:uid="{75D933B6-DA3F-4B97-9AE6-01E82E9AE6CA}">
      <formula1>N_Mínimo</formula1>
      <formula2>N_Máximo</formula2>
    </dataValidation>
    <dataValidation type="list" allowBlank="1" showInputMessage="1" showErrorMessage="1" promptTitle="Transformadores Grupo A" prompt="Se o tipo de SE for Nº 1, Nº 5 ou Nº 8, indique aqui a potência do transformador._x000a__x000a_Se o tipo de SE for Nº 2 ou Nº 4, indique aqui a quantidade de potência distinta na SE. Ex: Se tiver trafo de 75 kVA e 150 kVA, indique a quantidade 2." sqref="S38:U38" xr:uid="{FFC70F06-75CC-4674-93C2-C1FF70FBEBF0}">
      <formula1>TrafosPorSE</formula1>
    </dataValidation>
    <dataValidation type="list" allowBlank="1" showInputMessage="1" showErrorMessage="1" sqref="L95:S95" xr:uid="{D74826A0-4025-43C6-B317-A52083B44014}">
      <formula1>"Solar,Hidráulica,Biomassa,Cogeração Qualificada,Eólica"</formula1>
    </dataValidation>
    <dataValidation allowBlank="1" showInputMessage="1" showErrorMessage="1" promptTitle="Qte disjuntor geral" prompt="Informe aqui a quantidade de disjuntor geral." sqref="AT51:AV51" xr:uid="{95F0FF69-3779-4FFF-B185-9F1EF6591BFA}"/>
    <dataValidation type="list" allowBlank="1" showInputMessage="1" showErrorMessage="1" sqref="AB49:AF49" xr:uid="{EB9290B1-4A42-48CC-AC1C-C8527DEBB976}">
      <formula1>Fases_Disjuntores</formula1>
    </dataValidation>
    <dataValidation type="list" allowBlank="1" showInputMessage="1" showErrorMessage="1" sqref="AB47:AF47" xr:uid="{B04BFF64-6166-4D0F-84BA-58B606B9262E}">
      <formula1>Fases_Disjuntores_3</formula1>
    </dataValidation>
    <dataValidation allowBlank="1" showInputMessage="1" showErrorMessage="1" promptTitle="Assin. do Consumidor/Responsável" prompt="Neste campo deve conter uma assinatura de próprio punho ou uma assinatura digital com certificação válida." sqref="V236:AV236 V254:AV254" xr:uid="{808DEA3E-F93A-4816-85F6-C40C043BD99E}"/>
    <dataValidation allowBlank="1" showInputMessage="1" showErrorMessage="1" promptTitle="Assin. Consumidor/Responsável" prompt="Neste campo deve conter uma assinatura de próprio punho ou uma assinatura digital com certificação válida." sqref="V296:AV296" xr:uid="{DADD9CD0-AE63-46B1-AC0A-F584A23612B1}"/>
    <dataValidation allowBlank="1" showInputMessage="1" showErrorMessage="1" prompt="Caso seja central geradora nova, informar estimativa de produção mensal (12 meses). Se for central geradora existente, informar valores mensais verificados (12 meses)" sqref="U150:AB150" xr:uid="{7172D131-3549-4158-833B-9EBFFD3BD0CE}"/>
    <dataValidation type="decimal" allowBlank="1" showInputMessage="1" showErrorMessage="1" sqref="L116:V116" xr:uid="{14363BC3-4509-470B-B77B-CFDCA5104711}">
      <formula1>0</formula1>
      <formula2>10000</formula2>
    </dataValidation>
    <dataValidation type="decimal" allowBlank="1" showInputMessage="1" showErrorMessage="1" sqref="AI116:AS116" xr:uid="{E7F4DECD-CB5A-4FA0-B3CC-02F75D49CA1C}">
      <formula1>0</formula1>
      <formula2>5000</formula2>
    </dataValidation>
  </dataValidations>
  <printOptions horizontalCentered="1"/>
  <pageMargins left="0.70866141732283472" right="0.70866141732283472" top="0.74803149606299213" bottom="0.35433070866141736" header="0.31496062992125984" footer="0.31496062992125984"/>
  <pageSetup paperSize="9" scale="66" fitToHeight="0" orientation="portrait" r:id="rId1"/>
  <headerFooter>
    <oddFooter>&amp;R_x000D_&amp;1#&amp;"Calibri"&amp;10&amp;K000000 Classificação: Público</oddFooter>
  </headerFooter>
  <rowBreaks count="3" manualBreakCount="3">
    <brk id="92" min="1" max="48" man="1"/>
    <brk id="178" min="1" max="48" man="1"/>
    <brk id="255" min="1" max="48" man="1"/>
  </rowBreaks>
  <drawing r:id="rId2"/>
  <extLst>
    <ext xmlns:x14="http://schemas.microsoft.com/office/spreadsheetml/2009/9/main" uri="{78C0D931-6437-407d-A8EE-F0AAD7539E65}">
      <x14:conditionalFormattings>
        <x14:conditionalFormatting xmlns:xm="http://schemas.microsoft.com/office/excel/2006/main">
          <x14:cfRule type="expression" priority="18" id="{ED8C037C-D835-44D6-AA53-B363D47BAF63}">
            <xm:f>$AF$61&lt;&gt;Dados!$V$5</xm:f>
            <x14:dxf>
              <font>
                <color theme="0"/>
              </font>
              <fill>
                <patternFill>
                  <fgColor theme="0"/>
                  <bgColor theme="0"/>
                </patternFill>
              </fill>
              <border>
                <left/>
                <right/>
                <top/>
                <bottom/>
                <vertical/>
                <horizontal/>
              </border>
            </x14:dxf>
          </x14:cfRule>
          <xm:sqref>C63:AV65</xm:sqref>
        </x14:conditionalFormatting>
        <x14:conditionalFormatting xmlns:xm="http://schemas.microsoft.com/office/excel/2006/main">
          <x14:cfRule type="expression" priority="3" id="{D8A38D80-8AE1-4902-80E5-8CF2BCE9F504}">
            <xm:f>$AL$12=Dados!$V$5</xm:f>
            <x14:dxf>
              <font>
                <color theme="0"/>
              </font>
              <fill>
                <patternFill>
                  <bgColor theme="0"/>
                </patternFill>
              </fill>
              <border>
                <left/>
                <right/>
                <top/>
                <bottom/>
                <vertical/>
                <horizontal/>
              </border>
            </x14:dxf>
          </x14:cfRule>
          <xm:sqref>L100:AD100</xm:sqref>
        </x14:conditionalFormatting>
        <x14:conditionalFormatting xmlns:xm="http://schemas.microsoft.com/office/excel/2006/main">
          <x14:cfRule type="expression" priority="17" id="{4C20DA29-37B5-4878-8BCC-79B04AFF4E9D}">
            <xm:f>Dados!$D$7=4</xm:f>
            <x14:dxf>
              <font>
                <color theme="0"/>
              </font>
              <fill>
                <patternFill>
                  <fgColor theme="0"/>
                </patternFill>
              </fill>
              <border>
                <left/>
                <right/>
                <top/>
                <bottom/>
                <vertical/>
                <horizontal/>
              </border>
            </x14:dxf>
          </x14:cfRule>
          <xm:sqref>R57:S57</xm:sqref>
        </x14:conditionalFormatting>
        <x14:conditionalFormatting xmlns:xm="http://schemas.microsoft.com/office/excel/2006/main">
          <x14:cfRule type="expression" priority="38" id="{67B5FA39-0AC9-4C96-8419-0C4843056B91}">
            <xm:f>AND($S$38&gt;4,Conferencia!$D$21=1)</xm:f>
            <x14:dxf>
              <font>
                <b/>
                <i val="0"/>
                <color theme="0"/>
              </font>
              <fill>
                <patternFill>
                  <bgColor rgb="FFFF0000"/>
                </patternFill>
              </fill>
            </x14:dxf>
          </x14:cfRule>
          <x14:cfRule type="expression" priority="39" id="{34EC78F0-9577-4B80-BF5C-D5D3DE6D5B0F}">
            <xm:f>AND($S$38&lt;=4,Conferencia!$D$22=1)</xm:f>
            <x14:dxf>
              <font>
                <b/>
                <i val="0"/>
                <color theme="0"/>
              </font>
              <fill>
                <patternFill>
                  <bgColor rgb="FFFF0000"/>
                </patternFill>
              </fill>
            </x14:dxf>
          </x14:cfRule>
          <xm:sqref>S38:U38</xm:sqref>
        </x14:conditionalFormatting>
        <x14:conditionalFormatting xmlns:xm="http://schemas.microsoft.com/office/excel/2006/main">
          <x14:cfRule type="expression" priority="118" id="{2392F1BE-ED33-446F-91DF-6B71BD925813}">
            <xm:f>Conferencia!$D$18=0</xm:f>
            <x14:dxf>
              <font>
                <b/>
                <i val="0"/>
                <color theme="0"/>
              </font>
              <fill>
                <patternFill>
                  <bgColor rgb="FFFF0000"/>
                </patternFill>
              </fill>
            </x14:dxf>
          </x14:cfRule>
          <xm:sqref>T36:U36 I41:AN41</xm:sqref>
        </x14:conditionalFormatting>
        <x14:conditionalFormatting xmlns:xm="http://schemas.microsoft.com/office/excel/2006/main">
          <x14:cfRule type="expression" priority="62" id="{F5C2F3C6-9869-42B5-838E-942350FEB4A4}">
            <xm:f>AND($S$38&gt;=4,Conferencia!$D$20=1,Conferencia!$D$21=1)</xm:f>
            <x14:dxf>
              <font>
                <b/>
                <i/>
                <color theme="0"/>
              </font>
              <fill>
                <patternFill>
                  <bgColor rgb="FFFF0000"/>
                </patternFill>
              </fill>
            </x14:dxf>
          </x14:cfRule>
          <xm:sqref>Z36 AF36 AM36 AS36 AM38 AS38</xm:sqref>
        </x14:conditionalFormatting>
        <x14:conditionalFormatting xmlns:xm="http://schemas.microsoft.com/office/excel/2006/main">
          <x14:cfRule type="expression" priority="61" id="{7F50D444-E769-4768-903D-E2148CC99DED}">
            <xm:f>AND($S$38&gt;=3,Conferencia!$D$20=1,Conferencia!$D$21=1)</xm:f>
            <x14:dxf>
              <font>
                <b/>
                <i/>
                <color theme="0"/>
              </font>
              <fill>
                <patternFill>
                  <bgColor rgb="FFFF0000"/>
                </patternFill>
              </fill>
            </x14:dxf>
          </x14:cfRule>
          <xm:sqref>Z36:AA36 AF36:AH36 AM36 AS36</xm:sqref>
        </x14:conditionalFormatting>
        <x14:conditionalFormatting xmlns:xm="http://schemas.microsoft.com/office/excel/2006/main">
          <x14:cfRule type="expression" priority="60" id="{01A9506A-A667-48C3-8949-18C0EF4642A9}">
            <xm:f>AND($S$38&gt;=2,Conferencia!$D$20=1,Conferencia!$D$21=1)</xm:f>
            <x14:dxf>
              <font>
                <b/>
                <i/>
                <color theme="0"/>
              </font>
              <fill>
                <patternFill>
                  <bgColor rgb="FFFF0000"/>
                </patternFill>
              </fill>
            </x14:dxf>
          </x14:cfRule>
          <xm:sqref>Z36:AA36 AF36:AH36</xm:sqref>
        </x14:conditionalFormatting>
        <x14:conditionalFormatting xmlns:xm="http://schemas.microsoft.com/office/excel/2006/main">
          <x14:cfRule type="expression" priority="59" id="{70607D21-EB56-478E-A433-3763AB645927}">
            <xm:f>AND($S$38&gt;=1,Conferencia!$D$20=1,Conferencia!$D$21=1)</xm:f>
            <x14:dxf>
              <font>
                <b/>
                <i val="0"/>
                <color theme="0"/>
              </font>
              <fill>
                <patternFill>
                  <bgColor rgb="FFFF0000"/>
                </patternFill>
              </fill>
            </x14:dxf>
          </x14:cfRule>
          <xm:sqref>Z38:AA38 AF38:AH38</xm:sqref>
        </x14:conditionalFormatting>
        <x14:conditionalFormatting xmlns:xm="http://schemas.microsoft.com/office/excel/2006/main">
          <x14:cfRule type="expression" priority="86" id="{9FDFB64B-BAC2-458C-BA88-7BB1BA039E55}">
            <xm:f>OR(AND($AB$49="Sem Disj. Geral",AND($I$41&lt;&gt;Apoio!$A$2,$I$41&lt;&gt;Apoio!$A$3)),AND($AB$49="Sem Alter. Carga",$I$41&lt;&gt;Apoio!$A$5))</xm:f>
            <x14:dxf>
              <font>
                <b/>
                <i val="0"/>
                <color theme="0"/>
              </font>
              <fill>
                <patternFill>
                  <bgColor rgb="FFFF0000"/>
                </patternFill>
              </fill>
            </x14:dxf>
          </x14:cfRule>
          <xm:sqref>AB49:AF49</xm:sqref>
        </x14:conditionalFormatting>
        <x14:conditionalFormatting xmlns:xm="http://schemas.microsoft.com/office/excel/2006/main">
          <x14:cfRule type="expression" priority="25" id="{11273438-8BD4-4E39-A2FD-8D775F3A422B}">
            <xm:f>$H$98&lt;&gt;Dados!$B$51</xm:f>
            <x14:dxf>
              <font>
                <color theme="0"/>
              </font>
              <fill>
                <patternFill>
                  <bgColor theme="0"/>
                </patternFill>
              </fill>
              <border>
                <left/>
                <right/>
                <top/>
                <bottom/>
                <vertical/>
                <horizontal/>
              </border>
            </x14:dxf>
          </x14:cfRule>
          <xm:sqref>AB98:AU98</xm:sqref>
        </x14:conditionalFormatting>
        <x14:conditionalFormatting xmlns:xm="http://schemas.microsoft.com/office/excel/2006/main">
          <x14:cfRule type="expression" priority="10" id="{B8F3CFFA-9ED5-4FF8-9927-4DE1A46FD1D0}">
            <xm:f>$AL$12=Dados!$V$5</xm:f>
            <x14:dxf>
              <font>
                <color theme="0"/>
              </font>
              <fill>
                <patternFill>
                  <fgColor theme="0"/>
                </patternFill>
              </fill>
              <border>
                <left/>
                <right/>
                <top/>
                <bottom/>
                <vertical/>
                <horizontal/>
              </border>
            </x14:dxf>
          </x14:cfRule>
          <xm:sqref>AE100:AV100</xm:sqref>
        </x14:conditionalFormatting>
        <x14:conditionalFormatting xmlns:xm="http://schemas.microsoft.com/office/excel/2006/main">
          <x14:cfRule type="expression" priority="71" id="{330F505A-C21C-482B-9F92-F6DB9337244A}">
            <xm:f>Dados!$D$6=3</xm:f>
            <x14:dxf>
              <font>
                <color theme="0"/>
              </font>
              <border>
                <left/>
                <right/>
                <top/>
                <bottom/>
                <vertical/>
                <horizontal/>
              </border>
            </x14:dxf>
          </x14:cfRule>
          <xm:sqref>AM43:AV43</xm:sqref>
        </x14:conditionalFormatting>
        <x14:conditionalFormatting xmlns:xm="http://schemas.microsoft.com/office/excel/2006/main">
          <x14:cfRule type="expression" priority="24" id="{6806E632-0058-48B8-B30F-2296907F0915}">
            <xm:f>$I$41&lt;&gt;Dados!$B$6</xm:f>
            <x14:dxf>
              <font>
                <color theme="0"/>
              </font>
              <fill>
                <patternFill>
                  <bgColor theme="0"/>
                </patternFill>
              </fill>
              <border>
                <left/>
                <right/>
                <top/>
                <bottom/>
                <vertical/>
                <horizontal/>
              </border>
            </x14:dxf>
          </x14:cfRule>
          <xm:sqref>AO47:AV49</xm:sqref>
        </x14:conditionalFormatting>
        <x14:conditionalFormatting xmlns:xm="http://schemas.microsoft.com/office/excel/2006/main">
          <x14:cfRule type="expression" priority="9" id="{F5AC3BBB-2BAE-4A39-80E5-ECE9BE1C2B90}">
            <xm:f>Apoio!$B$145="Sim"</xm:f>
            <x14:dxf>
              <font>
                <color theme="0"/>
              </font>
              <fill>
                <patternFill>
                  <bgColor rgb="FFFF0000"/>
                </patternFill>
              </fill>
            </x14:dxf>
          </x14:cfRule>
          <x14:cfRule type="expression" priority="42" id="{2D0687B0-8530-417D-9371-174DAC44E6CF}">
            <xm:f>Conferencia!$D$20=1</xm:f>
            <x14:dxf>
              <font>
                <b/>
                <i val="0"/>
                <color theme="0"/>
              </font>
              <fill>
                <patternFill>
                  <bgColor rgb="FFFF0000"/>
                </patternFill>
              </fill>
            </x14:dxf>
          </x14:cfRule>
          <xm:sqref>AT95:AV95</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r:uid="{5A23B483-91F9-44DA-9ACE-F2365CA5CB81}">
          <x14:formula1>
            <xm:f>'Resp Seg Barragem'!$A$19:$A$21</xm:f>
          </x14:formula1>
          <xm:sqref>C283:AU283</xm:sqref>
        </x14:dataValidation>
        <x14:dataValidation type="list" allowBlank="1" showInputMessage="1" showErrorMessage="1" xr:uid="{80470A9E-4D9D-4AF3-8DFC-78EAC6B0F0CC}">
          <x14:formula1>
            <xm:f>'Resp Seg Barragem'!$A$16:$A$17</xm:f>
          </x14:formula1>
          <xm:sqref>C279:AU279</xm:sqref>
        </x14:dataValidation>
        <x14:dataValidation type="list" allowBlank="1" showInputMessage="1" showErrorMessage="1" xr:uid="{96B85AED-A6C2-4B47-9B3A-BAF7E4501DDF}">
          <x14:formula1>
            <xm:f>'Resp Seg Barragem'!$A$11:$A$14</xm:f>
          </x14:formula1>
          <xm:sqref>C275:AU275</xm:sqref>
        </x14:dataValidation>
        <x14:dataValidation type="list" allowBlank="1" showInputMessage="1" showErrorMessage="1" xr:uid="{BF8D0EE3-5712-4AC2-A006-47192AC72936}">
          <x14:formula1>
            <xm:f>'Resp Seg Barragem'!$A$5:$A$9</xm:f>
          </x14:formula1>
          <xm:sqref>C272:AU272</xm:sqref>
        </x14:dataValidation>
        <x14:dataValidation type="list" allowBlank="1" showInputMessage="1" showErrorMessage="1" xr:uid="{7F2D44A9-EB59-43FE-9DEA-750656647EF2}">
          <x14:formula1>
            <xm:f>'Resp Seg Barragem'!$A$2:$A$3</xm:f>
          </x14:formula1>
          <xm:sqref>C268:AU268</xm:sqref>
        </x14:dataValidation>
        <x14:dataValidation type="list" allowBlank="1" showInputMessage="1" showErrorMessage="1" xr:uid="{93DE9E60-CBCD-4724-BB28-195110CA668A}">
          <x14:formula1>
            <xm:f>Dados!$V$5:$V$6</xm:f>
          </x14:formula1>
          <xm:sqref>R134:V134 R136:V136 O138:S138 AJ138:AN138 AF69:AG69 R57:S57 AD59:AE59 AF190:AG190 AI63:AJ63 AG65:AH65 AF61:AG64 O14:P14 AD33:AE33 AL12:AM13</xm:sqref>
        </x14:dataValidation>
        <x14:dataValidation type="list" allowBlank="1" showInputMessage="1" showErrorMessage="1" xr:uid="{145F2C68-42D9-45F7-9D61-CCE4E324F392}">
          <x14:formula1>
            <xm:f>Dados!$B$48:$B$51</xm:f>
          </x14:formula1>
          <xm:sqref>H98:Z98</xm:sqref>
        </x14:dataValidation>
        <x14:dataValidation type="list" allowBlank="1" showInputMessage="1" showErrorMessage="1" xr:uid="{EEAD4E33-7A1F-4AA9-A2AA-B94AC3BB1824}">
          <x14:formula1>
            <xm:f>Dados!$B$67:$B$70</xm:f>
          </x14:formula1>
          <xm:sqref>L100:AD100</xm:sqref>
        </x14:dataValidation>
        <x14:dataValidation type="list" allowBlank="1" showInputMessage="1" showErrorMessage="1" xr:uid="{528881EF-46A4-44F1-9E46-6D38027A0D88}">
          <x14:formula1>
            <xm:f>Dados!$V$9:$V$10</xm:f>
          </x14:formula1>
          <xm:sqref>AN65</xm:sqref>
        </x14:dataValidation>
        <x14:dataValidation type="list" allowBlank="1" showInputMessage="1" showErrorMessage="1" xr:uid="{77AC5303-B985-4E24-B7C8-7EF1B69748E3}">
          <x14:formula1>
            <xm:f>Dados!$V$18:$V$19</xm:f>
          </x14:formula1>
          <xm:sqref>C195 C198 C208:C209</xm:sqref>
        </x14:dataValidation>
        <x14:dataValidation type="list" allowBlank="1" showInputMessage="1" showErrorMessage="1" xr:uid="{CD5D3885-4D6C-4C81-8087-B248BC915CB5}">
          <x14:formula1>
            <xm:f>IF(AND(TipoSE="Nº 2",I41=Dados!B9),Tensão_SE_N°_2,TensãoGrupo)</xm:f>
          </x14:formula1>
          <xm:sqref>L55:O55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33A22-0354-4B5F-B5CA-99DEA2A3DCEF}">
  <sheetPr codeName="Planilha1">
    <tabColor rgb="FFFFFF00"/>
  </sheetPr>
  <dimension ref="B2:AH171"/>
  <sheetViews>
    <sheetView showGridLines="0" showRowColHeaders="0" zoomScaleNormal="100" workbookViewId="0"/>
  </sheetViews>
  <sheetFormatPr defaultRowHeight="15" x14ac:dyDescent="0.25"/>
  <cols>
    <col min="1" max="1" width="4.140625" customWidth="1"/>
    <col min="2" max="25" width="3.42578125" customWidth="1"/>
    <col min="26" max="29" width="4" customWidth="1"/>
    <col min="30" max="34" width="4.140625" customWidth="1"/>
  </cols>
  <sheetData>
    <row r="2" spans="2:33" x14ac:dyDescent="0.25">
      <c r="B2" s="55" t="s">
        <v>153</v>
      </c>
    </row>
    <row r="3" spans="2:33" ht="3" customHeight="1" x14ac:dyDescent="0.25"/>
    <row r="4" spans="2:33" x14ac:dyDescent="0.25">
      <c r="B4" s="135" t="s">
        <v>154</v>
      </c>
      <c r="C4" s="135"/>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c r="AD4" s="135"/>
      <c r="AE4" s="135"/>
      <c r="AF4" s="135"/>
      <c r="AG4" s="135"/>
    </row>
    <row r="5" spans="2:33" ht="3" customHeight="1" x14ac:dyDescent="0.25">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row>
    <row r="6" spans="2:33" ht="15" customHeight="1" x14ac:dyDescent="0.25">
      <c r="B6" s="135"/>
      <c r="C6" s="135"/>
      <c r="D6" s="135"/>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135"/>
      <c r="AE6" s="135"/>
      <c r="AF6" s="135"/>
      <c r="AG6" s="135"/>
    </row>
    <row r="7" spans="2:33" ht="3" customHeight="1" x14ac:dyDescent="0.25"/>
    <row r="8" spans="2:33" ht="15" customHeight="1" x14ac:dyDescent="0.25">
      <c r="B8" s="135" t="s">
        <v>155</v>
      </c>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2:33" ht="15" customHeight="1" x14ac:dyDescent="0.2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2:33" ht="3" customHeight="1" x14ac:dyDescent="0.25"/>
    <row r="11" spans="2:33" x14ac:dyDescent="0.25">
      <c r="B11" s="135" t="s">
        <v>156</v>
      </c>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c r="AF11" s="135"/>
      <c r="AG11" s="135"/>
    </row>
    <row r="12" spans="2:33" ht="14.25" customHeight="1" x14ac:dyDescent="0.25">
      <c r="B12" s="135"/>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row>
    <row r="13" spans="2:33" ht="3" customHeight="1" x14ac:dyDescent="0.25"/>
    <row r="14" spans="2:33" x14ac:dyDescent="0.25">
      <c r="B14" t="s">
        <v>157</v>
      </c>
    </row>
    <row r="16" spans="2:33" x14ac:dyDescent="0.25">
      <c r="F16" s="257" t="s">
        <v>158</v>
      </c>
      <c r="G16" s="257"/>
      <c r="H16" s="257"/>
      <c r="I16" s="257"/>
      <c r="J16" s="257" t="s">
        <v>159</v>
      </c>
      <c r="K16" s="257"/>
      <c r="L16" s="257"/>
      <c r="M16" s="257"/>
      <c r="N16" s="257"/>
      <c r="O16" s="257"/>
      <c r="P16" s="257"/>
      <c r="Q16" s="257"/>
      <c r="R16" s="258" t="s">
        <v>158</v>
      </c>
      <c r="S16" s="257"/>
      <c r="T16" s="257"/>
      <c r="U16" s="257"/>
      <c r="V16" s="257" t="s">
        <v>160</v>
      </c>
      <c r="W16" s="257"/>
      <c r="X16" s="257"/>
      <c r="Y16" s="257"/>
      <c r="Z16" s="257"/>
      <c r="AA16" s="257"/>
    </row>
    <row r="17" spans="2:33" x14ac:dyDescent="0.25">
      <c r="F17" s="255" t="s">
        <v>161</v>
      </c>
      <c r="G17" s="255"/>
      <c r="H17" s="255"/>
      <c r="I17" s="255"/>
      <c r="J17" s="106" t="s">
        <v>162</v>
      </c>
      <c r="K17" s="106"/>
      <c r="L17" s="106"/>
      <c r="M17" s="106"/>
      <c r="N17" s="106"/>
      <c r="O17" s="106"/>
      <c r="P17" s="106"/>
      <c r="Q17" s="106"/>
      <c r="R17" s="256" t="s">
        <v>163</v>
      </c>
      <c r="S17" s="255"/>
      <c r="T17" s="255"/>
      <c r="U17" s="255"/>
      <c r="V17" s="106" t="s">
        <v>164</v>
      </c>
      <c r="W17" s="106"/>
      <c r="X17" s="106"/>
      <c r="Y17" s="106"/>
      <c r="Z17" s="106"/>
      <c r="AA17" s="106"/>
    </row>
    <row r="18" spans="2:33" x14ac:dyDescent="0.25">
      <c r="F18" s="255" t="s">
        <v>165</v>
      </c>
      <c r="G18" s="255"/>
      <c r="H18" s="255"/>
      <c r="I18" s="255"/>
      <c r="J18" s="106" t="s">
        <v>166</v>
      </c>
      <c r="K18" s="106"/>
      <c r="L18" s="106"/>
      <c r="M18" s="106"/>
      <c r="N18" s="106"/>
      <c r="O18" s="106"/>
      <c r="P18" s="106"/>
      <c r="Q18" s="106"/>
      <c r="R18" s="256" t="s">
        <v>167</v>
      </c>
      <c r="S18" s="255"/>
      <c r="T18" s="255"/>
      <c r="U18" s="255"/>
      <c r="V18" s="106" t="s">
        <v>168</v>
      </c>
      <c r="W18" s="106"/>
      <c r="X18" s="106"/>
      <c r="Y18" s="106"/>
      <c r="Z18" s="106"/>
      <c r="AA18" s="106"/>
    </row>
    <row r="19" spans="2:33" x14ac:dyDescent="0.25">
      <c r="F19" s="255" t="s">
        <v>169</v>
      </c>
      <c r="G19" s="255"/>
      <c r="H19" s="255"/>
      <c r="I19" s="255"/>
      <c r="J19" s="106" t="s">
        <v>170</v>
      </c>
      <c r="K19" s="106"/>
      <c r="L19" s="106"/>
      <c r="M19" s="106"/>
      <c r="N19" s="106"/>
      <c r="O19" s="106"/>
      <c r="P19" s="106"/>
      <c r="Q19" s="106"/>
      <c r="R19" s="256" t="s">
        <v>171</v>
      </c>
      <c r="S19" s="255"/>
      <c r="T19" s="255"/>
      <c r="U19" s="255"/>
      <c r="V19" s="106" t="s">
        <v>172</v>
      </c>
      <c r="W19" s="106"/>
      <c r="X19" s="106"/>
      <c r="Y19" s="106"/>
      <c r="Z19" s="106"/>
      <c r="AA19" s="106"/>
    </row>
    <row r="20" spans="2:33" x14ac:dyDescent="0.25">
      <c r="F20" s="255" t="s">
        <v>173</v>
      </c>
      <c r="G20" s="255"/>
      <c r="H20" s="255"/>
      <c r="I20" s="255"/>
      <c r="J20" s="106" t="s">
        <v>174</v>
      </c>
      <c r="K20" s="106"/>
      <c r="L20" s="106"/>
      <c r="M20" s="106"/>
      <c r="N20" s="106"/>
      <c r="O20" s="106"/>
      <c r="P20" s="106"/>
      <c r="Q20" s="106"/>
      <c r="R20" s="256" t="s">
        <v>171</v>
      </c>
      <c r="S20" s="255"/>
      <c r="T20" s="255"/>
      <c r="U20" s="255"/>
      <c r="V20" s="106" t="s">
        <v>175</v>
      </c>
      <c r="W20" s="106"/>
      <c r="X20" s="106"/>
      <c r="Y20" s="106"/>
      <c r="Z20" s="106"/>
      <c r="AA20" s="106"/>
    </row>
    <row r="21" spans="2:33" x14ac:dyDescent="0.25">
      <c r="F21" s="255" t="s">
        <v>176</v>
      </c>
      <c r="G21" s="255"/>
      <c r="H21" s="255"/>
      <c r="I21" s="255"/>
      <c r="J21" s="106" t="s">
        <v>177</v>
      </c>
      <c r="K21" s="106"/>
      <c r="L21" s="106"/>
      <c r="M21" s="106"/>
      <c r="N21" s="106"/>
      <c r="O21" s="106"/>
      <c r="P21" s="106"/>
      <c r="Q21" s="106"/>
      <c r="R21" s="256" t="s">
        <v>178</v>
      </c>
      <c r="S21" s="255"/>
      <c r="T21" s="255"/>
      <c r="U21" s="255"/>
      <c r="V21" s="106" t="s">
        <v>179</v>
      </c>
      <c r="W21" s="106"/>
      <c r="X21" s="106"/>
      <c r="Y21" s="106"/>
      <c r="Z21" s="106"/>
      <c r="AA21" s="106"/>
    </row>
    <row r="23" spans="2:33" x14ac:dyDescent="0.25">
      <c r="B23" s="135" t="s">
        <v>196</v>
      </c>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row>
    <row r="24" spans="2:33" x14ac:dyDescent="0.25">
      <c r="B24" s="135"/>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row>
    <row r="25" spans="2:33" ht="3" customHeight="1" x14ac:dyDescent="0.25"/>
    <row r="26" spans="2:33" ht="15" customHeight="1" x14ac:dyDescent="0.25">
      <c r="B26" s="135" t="s">
        <v>314</v>
      </c>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row>
    <row r="27" spans="2:33" x14ac:dyDescent="0.25">
      <c r="B27" s="135"/>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row>
    <row r="28" spans="2:33" x14ac:dyDescent="0.25">
      <c r="B28" s="135"/>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row>
    <row r="29" spans="2:33" x14ac:dyDescent="0.25">
      <c r="B29" t="s">
        <v>180</v>
      </c>
    </row>
    <row r="30" spans="2:33" ht="3" customHeight="1" x14ac:dyDescent="0.25"/>
    <row r="31" spans="2:33" ht="15" customHeight="1" x14ac:dyDescent="0.25">
      <c r="B31" s="135" t="s">
        <v>197</v>
      </c>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2:33" x14ac:dyDescent="0.25">
      <c r="B32" s="135"/>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row>
    <row r="33" spans="2:33" x14ac:dyDescent="0.25">
      <c r="B33" s="135"/>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row>
    <row r="34" spans="2:33" ht="3" customHeight="1" x14ac:dyDescent="0.25">
      <c r="B34" s="53"/>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row>
    <row r="35" spans="2:33" x14ac:dyDescent="0.25">
      <c r="B35" s="135" t="s">
        <v>316</v>
      </c>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5"/>
      <c r="AG35" s="135"/>
    </row>
    <row r="36" spans="2:33" x14ac:dyDescent="0.25">
      <c r="B36" s="135"/>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row>
    <row r="37" spans="2:33" x14ac:dyDescent="0.25">
      <c r="B37" s="135"/>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35"/>
      <c r="AG37" s="135"/>
    </row>
    <row r="38" spans="2:33" ht="6" customHeight="1" x14ac:dyDescent="0.25"/>
    <row r="39" spans="2:33" x14ac:dyDescent="0.25">
      <c r="B39" s="135" t="s">
        <v>317</v>
      </c>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c r="AE39" s="135"/>
      <c r="AF39" s="135"/>
      <c r="AG39" s="135"/>
    </row>
    <row r="40" spans="2:33" x14ac:dyDescent="0.25">
      <c r="B40" s="135"/>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c r="AD40" s="135"/>
      <c r="AE40" s="135"/>
      <c r="AF40" s="135"/>
      <c r="AG40" s="135"/>
    </row>
    <row r="41" spans="2:33" ht="3" customHeight="1" x14ac:dyDescent="0.25"/>
    <row r="42" spans="2:33" x14ac:dyDescent="0.25">
      <c r="B42" s="135" t="s">
        <v>318</v>
      </c>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35"/>
      <c r="AG42" s="135"/>
    </row>
    <row r="43" spans="2:33" x14ac:dyDescent="0.25">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c r="AE43" s="135"/>
      <c r="AF43" s="135"/>
      <c r="AG43" s="135"/>
    </row>
    <row r="44" spans="2:33" x14ac:dyDescent="0.25">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row>
    <row r="45" spans="2:33" x14ac:dyDescent="0.25">
      <c r="B45" s="135" t="s">
        <v>181</v>
      </c>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c r="AD45" s="135"/>
      <c r="AE45" s="135"/>
      <c r="AF45" s="135"/>
      <c r="AG45" s="135"/>
    </row>
    <row r="46" spans="2:33" x14ac:dyDescent="0.25">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row>
    <row r="47" spans="2:33" x14ac:dyDescent="0.25">
      <c r="B47" s="135" t="s">
        <v>218</v>
      </c>
      <c r="C47" s="135"/>
      <c r="D47" s="135"/>
      <c r="E47" s="135"/>
      <c r="F47" s="135"/>
      <c r="G47" s="135"/>
      <c r="H47" s="135"/>
      <c r="I47" s="135"/>
      <c r="J47" s="135"/>
      <c r="K47" s="135"/>
      <c r="L47" s="135"/>
      <c r="M47" s="135"/>
      <c r="N47" s="135"/>
      <c r="O47" s="135"/>
      <c r="P47" s="135"/>
      <c r="Q47" s="135"/>
      <c r="R47" s="135"/>
      <c r="S47" s="135"/>
      <c r="T47" s="135"/>
      <c r="U47" s="135"/>
      <c r="V47" s="135"/>
      <c r="W47" s="135"/>
      <c r="X47" s="135"/>
      <c r="Y47" s="135"/>
      <c r="Z47" s="135"/>
      <c r="AA47" s="135"/>
      <c r="AB47" s="135"/>
      <c r="AC47" s="135"/>
      <c r="AD47" s="135"/>
      <c r="AE47" s="135"/>
      <c r="AF47" s="135"/>
      <c r="AG47" s="135"/>
    </row>
    <row r="48" spans="2:33" x14ac:dyDescent="0.25">
      <c r="B48" s="135"/>
      <c r="C48" s="135"/>
      <c r="D48" s="135"/>
      <c r="E48" s="135"/>
      <c r="F48" s="135"/>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c r="AD48" s="135"/>
      <c r="AE48" s="135"/>
      <c r="AF48" s="135"/>
      <c r="AG48" s="135"/>
    </row>
    <row r="49" spans="2:33" ht="3.95" customHeight="1" x14ac:dyDescent="0.25"/>
    <row r="50" spans="2:33" ht="15" customHeight="1" x14ac:dyDescent="0.25">
      <c r="B50" s="135" t="s">
        <v>319</v>
      </c>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c r="AA50" s="135"/>
      <c r="AB50" s="135"/>
      <c r="AC50" s="135"/>
      <c r="AD50" s="135"/>
      <c r="AE50" s="135"/>
      <c r="AF50" s="135"/>
      <c r="AG50" s="135"/>
    </row>
    <row r="51" spans="2:33" x14ac:dyDescent="0.25">
      <c r="B51" s="135"/>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row>
    <row r="52" spans="2:33" x14ac:dyDescent="0.25">
      <c r="B52" s="135"/>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row>
    <row r="53" spans="2:33" x14ac:dyDescent="0.25">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row>
    <row r="54" spans="2:33" ht="6" customHeight="1" x14ac:dyDescent="0.25"/>
    <row r="55" spans="2:33" x14ac:dyDescent="0.25">
      <c r="B55" s="135" t="s">
        <v>320</v>
      </c>
      <c r="C55" s="135"/>
      <c r="D55" s="135"/>
      <c r="E55" s="135"/>
      <c r="F55" s="135"/>
      <c r="G55" s="135"/>
      <c r="H55" s="135"/>
      <c r="I55" s="135"/>
      <c r="J55" s="135"/>
      <c r="K55" s="135"/>
      <c r="L55" s="135"/>
      <c r="M55" s="135"/>
      <c r="N55" s="135"/>
      <c r="O55" s="135"/>
      <c r="P55" s="135"/>
      <c r="Q55" s="135"/>
      <c r="R55" s="135"/>
      <c r="S55" s="135"/>
      <c r="T55" s="135"/>
      <c r="U55" s="135"/>
      <c r="V55" s="135"/>
      <c r="W55" s="135"/>
      <c r="X55" s="135"/>
      <c r="Y55" s="135"/>
      <c r="Z55" s="135"/>
      <c r="AA55" s="135"/>
      <c r="AB55" s="135"/>
      <c r="AC55" s="135"/>
      <c r="AD55" s="135"/>
      <c r="AE55" s="135"/>
      <c r="AF55" s="135"/>
      <c r="AG55" s="135"/>
    </row>
    <row r="56" spans="2:33" x14ac:dyDescent="0.25">
      <c r="B56" s="135"/>
      <c r="C56" s="135"/>
      <c r="D56" s="135"/>
      <c r="E56" s="135"/>
      <c r="F56" s="135"/>
      <c r="G56" s="135"/>
      <c r="H56" s="135"/>
      <c r="I56" s="135"/>
      <c r="J56" s="135"/>
      <c r="K56" s="135"/>
      <c r="L56" s="135"/>
      <c r="M56" s="135"/>
      <c r="N56" s="135"/>
      <c r="O56" s="135"/>
      <c r="P56" s="135"/>
      <c r="Q56" s="135"/>
      <c r="R56" s="135"/>
      <c r="S56" s="135"/>
      <c r="T56" s="135"/>
      <c r="U56" s="135"/>
      <c r="V56" s="135"/>
      <c r="W56" s="135"/>
      <c r="X56" s="135"/>
      <c r="Y56" s="135"/>
      <c r="Z56" s="135"/>
      <c r="AA56" s="135"/>
      <c r="AB56" s="135"/>
      <c r="AC56" s="135"/>
      <c r="AD56" s="135"/>
      <c r="AE56" s="135"/>
      <c r="AF56" s="135"/>
      <c r="AG56" s="135"/>
    </row>
    <row r="57" spans="2:33" ht="6" customHeight="1" x14ac:dyDescent="0.25">
      <c r="B57" t="s">
        <v>198</v>
      </c>
    </row>
    <row r="58" spans="2:33" x14ac:dyDescent="0.25">
      <c r="B58" t="s">
        <v>321</v>
      </c>
    </row>
    <row r="59" spans="2:33" ht="6" customHeight="1" x14ac:dyDescent="0.25"/>
    <row r="60" spans="2:33" x14ac:dyDescent="0.25">
      <c r="B60" t="s">
        <v>329</v>
      </c>
    </row>
    <row r="61" spans="2:33" x14ac:dyDescent="0.25">
      <c r="B61" t="s">
        <v>182</v>
      </c>
    </row>
    <row r="62" spans="2:33" x14ac:dyDescent="0.25">
      <c r="B62" t="s">
        <v>203</v>
      </c>
    </row>
    <row r="63" spans="2:33" ht="6" customHeight="1" x14ac:dyDescent="0.25"/>
    <row r="64" spans="2:33" x14ac:dyDescent="0.25">
      <c r="B64" s="135" t="s">
        <v>204</v>
      </c>
      <c r="C64" s="135"/>
      <c r="D64" s="135"/>
      <c r="E64" s="135"/>
      <c r="F64" s="135"/>
      <c r="G64" s="135"/>
      <c r="H64" s="135"/>
      <c r="I64" s="135"/>
      <c r="J64" s="135"/>
      <c r="K64" s="135"/>
      <c r="L64" s="135"/>
      <c r="M64" s="135"/>
      <c r="N64" s="135"/>
      <c r="O64" s="135"/>
      <c r="P64" s="135"/>
      <c r="Q64" s="135"/>
      <c r="R64" s="135"/>
      <c r="S64" s="135"/>
      <c r="T64" s="135"/>
      <c r="U64" s="135"/>
      <c r="V64" s="135"/>
      <c r="W64" s="135"/>
      <c r="X64" s="135"/>
      <c r="Y64" s="135"/>
      <c r="Z64" s="135"/>
      <c r="AA64" s="135"/>
      <c r="AB64" s="135"/>
      <c r="AC64" s="135"/>
      <c r="AD64" s="135"/>
      <c r="AE64" s="135"/>
      <c r="AF64" s="135"/>
      <c r="AG64" s="135"/>
    </row>
    <row r="65" spans="2:33" x14ac:dyDescent="0.25">
      <c r="B65" s="135"/>
      <c r="C65" s="135"/>
      <c r="D65" s="135"/>
      <c r="E65" s="135"/>
      <c r="F65" s="135"/>
      <c r="G65" s="135"/>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row>
    <row r="66" spans="2:33" ht="6" customHeight="1" x14ac:dyDescent="0.25">
      <c r="B66" s="135"/>
      <c r="C66" s="135"/>
      <c r="D66" s="135"/>
      <c r="E66" s="135"/>
      <c r="F66" s="135"/>
      <c r="G66" s="135"/>
      <c r="H66" s="135"/>
      <c r="I66" s="135"/>
      <c r="J66" s="135"/>
      <c r="K66" s="135"/>
      <c r="L66" s="135"/>
      <c r="M66" s="135"/>
      <c r="N66" s="135"/>
      <c r="O66" s="135"/>
      <c r="P66" s="135"/>
      <c r="Q66" s="135"/>
      <c r="R66" s="135"/>
      <c r="S66" s="135"/>
      <c r="T66" s="135"/>
      <c r="U66" s="135"/>
      <c r="V66" s="135"/>
      <c r="W66" s="135"/>
      <c r="X66" s="135"/>
      <c r="Y66" s="135"/>
      <c r="Z66" s="135"/>
      <c r="AA66" s="135"/>
      <c r="AB66" s="135"/>
      <c r="AC66" s="135"/>
      <c r="AD66" s="135"/>
      <c r="AE66" s="135"/>
      <c r="AF66" s="135"/>
      <c r="AG66" s="135"/>
    </row>
    <row r="67" spans="2:33" ht="15" customHeight="1" x14ac:dyDescent="0.25">
      <c r="B67" s="135" t="s">
        <v>205</v>
      </c>
      <c r="C67" s="135"/>
      <c r="D67" s="135"/>
      <c r="E67" s="135"/>
      <c r="F67" s="135"/>
      <c r="G67" s="135"/>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row>
    <row r="68" spans="2:33" x14ac:dyDescent="0.25">
      <c r="B68" s="135"/>
      <c r="C68" s="135"/>
      <c r="D68" s="135"/>
      <c r="E68" s="135"/>
      <c r="F68" s="135"/>
      <c r="G68" s="135"/>
      <c r="H68" s="135"/>
      <c r="I68" s="135"/>
      <c r="J68" s="135"/>
      <c r="K68" s="135"/>
      <c r="L68" s="135"/>
      <c r="M68" s="135"/>
      <c r="N68" s="135"/>
      <c r="O68" s="135"/>
      <c r="P68" s="135"/>
      <c r="Q68" s="135"/>
      <c r="R68" s="135"/>
      <c r="S68" s="135"/>
      <c r="T68" s="135"/>
      <c r="U68" s="135"/>
      <c r="V68" s="135"/>
      <c r="W68" s="135"/>
      <c r="X68" s="135"/>
      <c r="Y68" s="135"/>
      <c r="Z68" s="135"/>
      <c r="AA68" s="135"/>
      <c r="AB68" s="135"/>
      <c r="AC68" s="135"/>
      <c r="AD68" s="135"/>
      <c r="AE68" s="135"/>
      <c r="AF68" s="135"/>
      <c r="AG68" s="135"/>
    </row>
    <row r="69" spans="2:33" x14ac:dyDescent="0.25">
      <c r="B69" s="135"/>
      <c r="C69" s="135"/>
      <c r="D69" s="135"/>
      <c r="E69" s="135"/>
      <c r="F69" s="135"/>
      <c r="G69" s="135"/>
      <c r="H69" s="135"/>
      <c r="I69" s="135"/>
      <c r="J69" s="135"/>
      <c r="K69" s="135"/>
      <c r="L69" s="135"/>
      <c r="M69" s="135"/>
      <c r="N69" s="135"/>
      <c r="O69" s="135"/>
      <c r="P69" s="135"/>
      <c r="Q69" s="135"/>
      <c r="R69" s="135"/>
      <c r="S69" s="135"/>
      <c r="T69" s="135"/>
      <c r="U69" s="135"/>
      <c r="V69" s="135"/>
      <c r="W69" s="135"/>
      <c r="X69" s="135"/>
      <c r="Y69" s="135"/>
      <c r="Z69" s="135"/>
      <c r="AA69" s="135"/>
      <c r="AB69" s="135"/>
      <c r="AC69" s="135"/>
      <c r="AD69" s="135"/>
      <c r="AE69" s="135"/>
      <c r="AF69" s="135"/>
      <c r="AG69" s="135"/>
    </row>
    <row r="70" spans="2:33" ht="6" customHeight="1" x14ac:dyDescent="0.25"/>
    <row r="71" spans="2:33" ht="15" customHeight="1" x14ac:dyDescent="0.25">
      <c r="B71" s="135" t="s">
        <v>183</v>
      </c>
      <c r="C71" s="135"/>
      <c r="D71" s="135"/>
      <c r="E71" s="135"/>
      <c r="F71" s="135"/>
      <c r="G71" s="135"/>
      <c r="H71" s="135"/>
      <c r="I71" s="135"/>
      <c r="J71" s="135"/>
      <c r="K71" s="135"/>
      <c r="L71" s="135"/>
      <c r="M71" s="135"/>
      <c r="N71" s="135"/>
      <c r="O71" s="135"/>
      <c r="P71" s="135"/>
      <c r="Q71" s="135"/>
      <c r="R71" s="135"/>
      <c r="S71" s="135"/>
      <c r="T71" s="135"/>
      <c r="U71" s="135"/>
      <c r="V71" s="135"/>
      <c r="W71" s="135"/>
      <c r="X71" s="135"/>
      <c r="Y71" s="135"/>
      <c r="Z71" s="135"/>
      <c r="AA71" s="135"/>
      <c r="AB71" s="135"/>
      <c r="AC71" s="135"/>
      <c r="AD71" s="135"/>
      <c r="AE71" s="135"/>
      <c r="AF71" s="135"/>
      <c r="AG71" s="135"/>
    </row>
    <row r="72" spans="2:33" x14ac:dyDescent="0.25">
      <c r="B72" s="135"/>
      <c r="C72" s="135"/>
      <c r="D72" s="135"/>
      <c r="E72" s="135"/>
      <c r="F72" s="135"/>
      <c r="G72" s="135"/>
      <c r="H72" s="135"/>
      <c r="I72" s="135"/>
      <c r="J72" s="135"/>
      <c r="K72" s="135"/>
      <c r="L72" s="135"/>
      <c r="M72" s="135"/>
      <c r="N72" s="135"/>
      <c r="O72" s="135"/>
      <c r="P72" s="135"/>
      <c r="Q72" s="135"/>
      <c r="R72" s="135"/>
      <c r="S72" s="135"/>
      <c r="T72" s="135"/>
      <c r="U72" s="135"/>
      <c r="V72" s="135"/>
      <c r="W72" s="135"/>
      <c r="X72" s="135"/>
      <c r="Y72" s="135"/>
      <c r="Z72" s="135"/>
      <c r="AA72" s="135"/>
      <c r="AB72" s="135"/>
      <c r="AC72" s="135"/>
      <c r="AD72" s="135"/>
      <c r="AE72" s="135"/>
      <c r="AF72" s="135"/>
      <c r="AG72" s="135"/>
    </row>
    <row r="73" spans="2:33" x14ac:dyDescent="0.25">
      <c r="B73" s="135"/>
      <c r="C73" s="135"/>
      <c r="D73" s="135"/>
      <c r="E73" s="135"/>
      <c r="F73" s="135"/>
      <c r="G73" s="135"/>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row>
    <row r="74" spans="2:33" x14ac:dyDescent="0.25">
      <c r="B74" s="135"/>
      <c r="C74" s="135"/>
      <c r="D74" s="135"/>
      <c r="E74" s="135"/>
      <c r="F74" s="135"/>
      <c r="G74" s="135"/>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row>
    <row r="75" spans="2:33" x14ac:dyDescent="0.25">
      <c r="B75" s="135"/>
      <c r="C75" s="135"/>
      <c r="D75" s="135"/>
      <c r="E75" s="135"/>
      <c r="F75" s="135"/>
      <c r="G75" s="135"/>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row>
    <row r="76" spans="2:33" x14ac:dyDescent="0.25">
      <c r="B76" s="135"/>
      <c r="C76" s="135"/>
      <c r="D76" s="135"/>
      <c r="E76" s="135"/>
      <c r="F76" s="135"/>
      <c r="G76" s="135"/>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row>
    <row r="77" spans="2:33" x14ac:dyDescent="0.25">
      <c r="B77" s="135"/>
      <c r="C77" s="135"/>
      <c r="D77" s="135"/>
      <c r="E77" s="135"/>
      <c r="F77" s="135"/>
      <c r="G77" s="135"/>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row>
    <row r="78" spans="2:33" x14ac:dyDescent="0.25">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row>
    <row r="79" spans="2:33" ht="6" customHeight="1" x14ac:dyDescent="0.25"/>
    <row r="80" spans="2:33" x14ac:dyDescent="0.25">
      <c r="B80" s="135" t="s">
        <v>184</v>
      </c>
      <c r="C80" s="135"/>
      <c r="D80" s="135"/>
      <c r="E80" s="135"/>
      <c r="F80" s="135"/>
      <c r="G80" s="135"/>
      <c r="H80" s="135"/>
      <c r="I80" s="135"/>
      <c r="J80" s="135"/>
      <c r="K80" s="135"/>
      <c r="L80" s="135"/>
      <c r="M80" s="135"/>
      <c r="N80" s="135"/>
      <c r="O80" s="135"/>
      <c r="P80" s="135"/>
      <c r="Q80" s="135"/>
      <c r="R80" s="135"/>
      <c r="S80" s="135"/>
      <c r="T80" s="135"/>
      <c r="U80" s="135"/>
      <c r="V80" s="135"/>
      <c r="W80" s="135"/>
      <c r="X80" s="135"/>
      <c r="Y80" s="135"/>
      <c r="Z80" s="135"/>
      <c r="AA80" s="135"/>
      <c r="AB80" s="135"/>
      <c r="AC80" s="135"/>
      <c r="AD80" s="135"/>
      <c r="AE80" s="135"/>
      <c r="AF80" s="135"/>
      <c r="AG80" s="135"/>
    </row>
    <row r="81" spans="2:34" x14ac:dyDescent="0.25">
      <c r="B81" s="135"/>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c r="AD81" s="135"/>
      <c r="AE81" s="135"/>
      <c r="AF81" s="135"/>
      <c r="AG81" s="135"/>
    </row>
    <row r="82" spans="2:34" x14ac:dyDescent="0.25">
      <c r="B82" s="135"/>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c r="AD82" s="135"/>
      <c r="AE82" s="135"/>
      <c r="AF82" s="135"/>
      <c r="AG82" s="135"/>
    </row>
    <row r="83" spans="2:34" x14ac:dyDescent="0.25">
      <c r="B83" s="135"/>
      <c r="C83" s="135"/>
      <c r="D83" s="135"/>
      <c r="E83" s="135"/>
      <c r="F83" s="135"/>
      <c r="G83" s="135"/>
      <c r="H83" s="135"/>
      <c r="I83" s="135"/>
      <c r="J83" s="135"/>
      <c r="K83" s="135"/>
      <c r="L83" s="135"/>
      <c r="M83" s="135"/>
      <c r="N83" s="135"/>
      <c r="O83" s="135"/>
      <c r="P83" s="135"/>
      <c r="Q83" s="135"/>
      <c r="R83" s="135"/>
      <c r="S83" s="135"/>
      <c r="T83" s="135"/>
      <c r="U83" s="135"/>
      <c r="V83" s="135"/>
      <c r="W83" s="135"/>
      <c r="X83" s="135"/>
      <c r="Y83" s="135"/>
      <c r="Z83" s="135"/>
      <c r="AA83" s="135"/>
      <c r="AB83" s="135"/>
      <c r="AC83" s="135"/>
      <c r="AD83" s="135"/>
      <c r="AE83" s="135"/>
      <c r="AF83" s="135"/>
      <c r="AG83" s="135"/>
    </row>
    <row r="84" spans="2:34" ht="3" customHeight="1" x14ac:dyDescent="0.25"/>
    <row r="85" spans="2:34" x14ac:dyDescent="0.25">
      <c r="B85" t="s">
        <v>207</v>
      </c>
    </row>
    <row r="86" spans="2:34" ht="3" customHeight="1" x14ac:dyDescent="0.25"/>
    <row r="87" spans="2:34" x14ac:dyDescent="0.25">
      <c r="C87" s="135" t="s">
        <v>185</v>
      </c>
      <c r="D87" s="135"/>
      <c r="E87" s="135"/>
      <c r="F87" s="135"/>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c r="AD87" s="135"/>
      <c r="AE87" s="135"/>
      <c r="AF87" s="135"/>
      <c r="AG87" s="135"/>
      <c r="AH87" s="135"/>
    </row>
    <row r="88" spans="2:34" x14ac:dyDescent="0.25">
      <c r="C88" s="135"/>
      <c r="D88" s="135"/>
      <c r="E88" s="135"/>
      <c r="F88" s="135"/>
      <c r="G88" s="135"/>
      <c r="H88" s="135"/>
      <c r="I88" s="135"/>
      <c r="J88" s="135"/>
      <c r="K88" s="135"/>
      <c r="L88" s="135"/>
      <c r="M88" s="135"/>
      <c r="N88" s="135"/>
      <c r="O88" s="135"/>
      <c r="P88" s="135"/>
      <c r="Q88" s="135"/>
      <c r="R88" s="135"/>
      <c r="S88" s="135"/>
      <c r="T88" s="135"/>
      <c r="U88" s="135"/>
      <c r="V88" s="135"/>
      <c r="W88" s="135"/>
      <c r="X88" s="135"/>
      <c r="Y88" s="135"/>
      <c r="Z88" s="135"/>
      <c r="AA88" s="135"/>
      <c r="AB88" s="135"/>
      <c r="AC88" s="135"/>
      <c r="AD88" s="135"/>
      <c r="AE88" s="135"/>
      <c r="AF88" s="135"/>
      <c r="AG88" s="135"/>
      <c r="AH88" s="135"/>
    </row>
    <row r="89" spans="2:34" ht="3" customHeight="1" x14ac:dyDescent="0.25"/>
    <row r="90" spans="2:34" x14ac:dyDescent="0.25">
      <c r="C90" t="s">
        <v>186</v>
      </c>
    </row>
    <row r="91" spans="2:34" ht="3" customHeight="1" x14ac:dyDescent="0.25"/>
    <row r="92" spans="2:34" x14ac:dyDescent="0.25">
      <c r="C92" t="s">
        <v>187</v>
      </c>
    </row>
    <row r="93" spans="2:34" ht="3" customHeight="1" x14ac:dyDescent="0.25"/>
    <row r="94" spans="2:34" ht="15" customHeight="1" x14ac:dyDescent="0.25">
      <c r="C94" s="135" t="s">
        <v>188</v>
      </c>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row>
    <row r="95" spans="2:34" x14ac:dyDescent="0.25">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c r="AD95" s="135"/>
      <c r="AE95" s="135"/>
      <c r="AF95" s="135"/>
      <c r="AG95" s="135"/>
      <c r="AH95" s="135"/>
    </row>
    <row r="96" spans="2:34" x14ac:dyDescent="0.25">
      <c r="C96" s="135"/>
      <c r="D96" s="135"/>
      <c r="E96" s="135"/>
      <c r="F96" s="135"/>
      <c r="G96" s="135"/>
      <c r="H96" s="135"/>
      <c r="I96" s="135"/>
      <c r="J96" s="135"/>
      <c r="K96" s="135"/>
      <c r="L96" s="135"/>
      <c r="M96" s="135"/>
      <c r="N96" s="135"/>
      <c r="O96" s="135"/>
      <c r="P96" s="135"/>
      <c r="Q96" s="135"/>
      <c r="R96" s="135"/>
      <c r="S96" s="135"/>
      <c r="T96" s="135"/>
      <c r="U96" s="135"/>
      <c r="V96" s="135"/>
      <c r="W96" s="135"/>
      <c r="X96" s="135"/>
      <c r="Y96" s="135"/>
      <c r="Z96" s="135"/>
      <c r="AA96" s="135"/>
      <c r="AB96" s="135"/>
      <c r="AC96" s="135"/>
      <c r="AD96" s="135"/>
      <c r="AE96" s="135"/>
      <c r="AF96" s="135"/>
      <c r="AG96" s="135"/>
      <c r="AH96" s="135"/>
    </row>
    <row r="97" spans="2:34" x14ac:dyDescent="0.25">
      <c r="C97" s="135"/>
      <c r="D97" s="135"/>
      <c r="E97" s="135"/>
      <c r="F97" s="135"/>
      <c r="G97" s="135"/>
      <c r="H97" s="135"/>
      <c r="I97" s="135"/>
      <c r="J97" s="135"/>
      <c r="K97" s="135"/>
      <c r="L97" s="135"/>
      <c r="M97" s="135"/>
      <c r="N97" s="135"/>
      <c r="O97" s="135"/>
      <c r="P97" s="135"/>
      <c r="Q97" s="135"/>
      <c r="R97" s="135"/>
      <c r="S97" s="135"/>
      <c r="T97" s="135"/>
      <c r="U97" s="135"/>
      <c r="V97" s="135"/>
      <c r="W97" s="135"/>
      <c r="X97" s="135"/>
      <c r="Y97" s="135"/>
      <c r="Z97" s="135"/>
      <c r="AA97" s="135"/>
      <c r="AB97" s="135"/>
      <c r="AC97" s="135"/>
      <c r="AD97" s="135"/>
      <c r="AE97" s="135"/>
      <c r="AF97" s="135"/>
      <c r="AG97" s="135"/>
      <c r="AH97" s="135"/>
    </row>
    <row r="98" spans="2:34" x14ac:dyDescent="0.25">
      <c r="C98" s="135"/>
      <c r="D98" s="135"/>
      <c r="E98" s="135"/>
      <c r="F98" s="135"/>
      <c r="G98" s="135"/>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row>
    <row r="99" spans="2:34" ht="3" customHeight="1" x14ac:dyDescent="0.25"/>
    <row r="100" spans="2:34" x14ac:dyDescent="0.25">
      <c r="B100" t="s">
        <v>330</v>
      </c>
    </row>
    <row r="101" spans="2:34" ht="3" customHeight="1" x14ac:dyDescent="0.25"/>
    <row r="102" spans="2:34" x14ac:dyDescent="0.25">
      <c r="C102" s="135" t="s">
        <v>201</v>
      </c>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c r="AA102" s="135"/>
      <c r="AB102" s="135"/>
      <c r="AC102" s="135"/>
      <c r="AD102" s="135"/>
      <c r="AE102" s="135"/>
      <c r="AF102" s="135"/>
      <c r="AG102" s="135"/>
    </row>
    <row r="103" spans="2:34" x14ac:dyDescent="0.25">
      <c r="C103" s="135"/>
      <c r="D103" s="135"/>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c r="AA103" s="135"/>
      <c r="AB103" s="135"/>
      <c r="AC103" s="135"/>
      <c r="AD103" s="135"/>
      <c r="AE103" s="135"/>
      <c r="AF103" s="135"/>
      <c r="AG103" s="135"/>
    </row>
    <row r="104" spans="2:34" x14ac:dyDescent="0.25">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c r="AD104" s="135"/>
      <c r="AE104" s="135"/>
      <c r="AF104" s="135"/>
      <c r="AG104" s="135"/>
    </row>
    <row r="105" spans="2:34" ht="3" customHeight="1" x14ac:dyDescent="0.25"/>
    <row r="106" spans="2:34" x14ac:dyDescent="0.25">
      <c r="C106" s="135" t="s">
        <v>200</v>
      </c>
      <c r="D106" s="135"/>
      <c r="E106" s="135"/>
      <c r="F106" s="135"/>
      <c r="G106" s="135"/>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row>
    <row r="107" spans="2:34" x14ac:dyDescent="0.25">
      <c r="C107" s="135"/>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row>
    <row r="108" spans="2:34" x14ac:dyDescent="0.25">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row>
    <row r="109" spans="2:34" ht="3" customHeight="1" x14ac:dyDescent="0.25"/>
    <row r="110" spans="2:34" ht="15" customHeight="1" x14ac:dyDescent="0.25">
      <c r="C110" s="135" t="s">
        <v>199</v>
      </c>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row>
    <row r="111" spans="2:34" x14ac:dyDescent="0.25">
      <c r="C111" s="135"/>
      <c r="D111" s="135"/>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c r="AA111" s="135"/>
      <c r="AB111" s="135"/>
      <c r="AC111" s="135"/>
      <c r="AD111" s="135"/>
      <c r="AE111" s="135"/>
      <c r="AF111" s="135"/>
      <c r="AG111" s="135"/>
    </row>
    <row r="112" spans="2:34" x14ac:dyDescent="0.25">
      <c r="C112" s="135"/>
      <c r="D112" s="135"/>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c r="AA112" s="135"/>
      <c r="AB112" s="135"/>
      <c r="AC112" s="135"/>
      <c r="AD112" s="135"/>
      <c r="AE112" s="135"/>
      <c r="AF112" s="135"/>
      <c r="AG112" s="135"/>
    </row>
    <row r="113" spans="2:33" x14ac:dyDescent="0.25">
      <c r="C113" s="135"/>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c r="AA113" s="135"/>
      <c r="AB113" s="135"/>
      <c r="AC113" s="135"/>
      <c r="AD113" s="135"/>
      <c r="AE113" s="135"/>
      <c r="AF113" s="135"/>
      <c r="AG113" s="135"/>
    </row>
    <row r="114" spans="2:33" x14ac:dyDescent="0.25">
      <c r="C114" s="135"/>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c r="AA114" s="135"/>
      <c r="AB114" s="135"/>
      <c r="AC114" s="135"/>
      <c r="AD114" s="135"/>
      <c r="AE114" s="135"/>
      <c r="AF114" s="135"/>
      <c r="AG114" s="135"/>
    </row>
    <row r="115" spans="2:33" ht="3" customHeight="1" x14ac:dyDescent="0.25"/>
    <row r="116" spans="2:33" x14ac:dyDescent="0.25">
      <c r="C116" s="135" t="s">
        <v>315</v>
      </c>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row>
    <row r="117" spans="2:33" x14ac:dyDescent="0.25">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row>
    <row r="118" spans="2:33" ht="3" customHeight="1" x14ac:dyDescent="0.25"/>
    <row r="119" spans="2:33" ht="15" customHeight="1" x14ac:dyDescent="0.25">
      <c r="C119" s="135" t="s">
        <v>189</v>
      </c>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c r="AA119" s="135"/>
      <c r="AB119" s="135"/>
      <c r="AC119" s="135"/>
      <c r="AD119" s="135"/>
      <c r="AE119" s="135"/>
      <c r="AF119" s="135"/>
      <c r="AG119" s="135"/>
    </row>
    <row r="120" spans="2:33" x14ac:dyDescent="0.25">
      <c r="C120" s="135"/>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c r="AA120" s="135"/>
      <c r="AB120" s="135"/>
      <c r="AC120" s="135"/>
      <c r="AD120" s="135"/>
      <c r="AE120" s="135"/>
      <c r="AF120" s="135"/>
      <c r="AG120" s="135"/>
    </row>
    <row r="121" spans="2:33" x14ac:dyDescent="0.25">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c r="AE121" s="135"/>
      <c r="AF121" s="135"/>
      <c r="AG121" s="135"/>
    </row>
    <row r="122" spans="2:33" ht="3" customHeight="1" x14ac:dyDescent="0.25"/>
    <row r="123" spans="2:33" ht="15" customHeight="1" x14ac:dyDescent="0.25">
      <c r="C123" s="135" t="s">
        <v>206</v>
      </c>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row>
    <row r="124" spans="2:33" x14ac:dyDescent="0.25">
      <c r="C124" s="135"/>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c r="AD124" s="135"/>
      <c r="AE124" s="135"/>
      <c r="AF124" s="135"/>
      <c r="AG124" s="135"/>
    </row>
    <row r="125" spans="2:33" x14ac:dyDescent="0.25">
      <c r="C125" s="135"/>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row>
    <row r="126" spans="2:33" x14ac:dyDescent="0.25">
      <c r="C126" s="135"/>
      <c r="D126" s="135"/>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c r="AA126" s="135"/>
      <c r="AB126" s="135"/>
      <c r="AC126" s="135"/>
      <c r="AD126" s="135"/>
      <c r="AE126" s="135"/>
      <c r="AF126" s="135"/>
      <c r="AG126" s="135"/>
    </row>
    <row r="127" spans="2:33" ht="3" customHeight="1" x14ac:dyDescent="0.25"/>
    <row r="128" spans="2:33" x14ac:dyDescent="0.25">
      <c r="B128" t="s">
        <v>331</v>
      </c>
    </row>
    <row r="129" spans="2:33" ht="3" customHeight="1" x14ac:dyDescent="0.25"/>
    <row r="130" spans="2:33" x14ac:dyDescent="0.25">
      <c r="B130" s="135" t="s">
        <v>332</v>
      </c>
      <c r="C130" s="135"/>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c r="AA130" s="135"/>
      <c r="AB130" s="135"/>
      <c r="AC130" s="135"/>
      <c r="AD130" s="135"/>
      <c r="AE130" s="135"/>
      <c r="AF130" s="135"/>
      <c r="AG130" s="135"/>
    </row>
    <row r="131" spans="2:33" x14ac:dyDescent="0.2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row>
    <row r="132" spans="2:33" x14ac:dyDescent="0.2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row>
    <row r="133" spans="2:33" ht="3" customHeight="1" x14ac:dyDescent="0.25"/>
    <row r="134" spans="2:33" x14ac:dyDescent="0.25">
      <c r="B134" t="s">
        <v>190</v>
      </c>
    </row>
    <row r="135" spans="2:33" ht="3" customHeight="1" x14ac:dyDescent="0.25"/>
    <row r="136" spans="2:33" x14ac:dyDescent="0.25">
      <c r="B136" s="135" t="s">
        <v>191</v>
      </c>
      <c r="C136" s="135"/>
      <c r="D136" s="135"/>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c r="AA136" s="135"/>
      <c r="AB136" s="135"/>
      <c r="AC136" s="135"/>
      <c r="AD136" s="135"/>
      <c r="AE136" s="135"/>
      <c r="AF136" s="135"/>
      <c r="AG136" s="135"/>
    </row>
    <row r="137" spans="2:33" x14ac:dyDescent="0.2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135"/>
      <c r="AD137" s="135"/>
      <c r="AE137" s="135"/>
      <c r="AF137" s="135"/>
      <c r="AG137" s="135"/>
    </row>
    <row r="138" spans="2:33" x14ac:dyDescent="0.2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c r="AA138" s="135"/>
      <c r="AB138" s="135"/>
      <c r="AC138" s="135"/>
      <c r="AD138" s="135"/>
      <c r="AE138" s="135"/>
      <c r="AF138" s="135"/>
      <c r="AG138" s="135"/>
    </row>
    <row r="139" spans="2:33" ht="3" customHeight="1" x14ac:dyDescent="0.25"/>
    <row r="140" spans="2:33" x14ac:dyDescent="0.25">
      <c r="B140" t="s">
        <v>202</v>
      </c>
    </row>
    <row r="141" spans="2:33" ht="3" customHeight="1" x14ac:dyDescent="0.25"/>
    <row r="142" spans="2:33" x14ac:dyDescent="0.25">
      <c r="B142" t="s">
        <v>192</v>
      </c>
    </row>
    <row r="143" spans="2:33" ht="3" customHeight="1" x14ac:dyDescent="0.25"/>
    <row r="144" spans="2:33" x14ac:dyDescent="0.25">
      <c r="B144" t="s">
        <v>193</v>
      </c>
    </row>
    <row r="145" spans="2:33" ht="3" customHeight="1" x14ac:dyDescent="0.25"/>
    <row r="146" spans="2:33" x14ac:dyDescent="0.25">
      <c r="B146" s="135" t="s">
        <v>333</v>
      </c>
      <c r="C146" s="135"/>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c r="AA146" s="135"/>
      <c r="AB146" s="135"/>
      <c r="AC146" s="135"/>
      <c r="AD146" s="135"/>
      <c r="AE146" s="135"/>
      <c r="AF146" s="135"/>
      <c r="AG146" s="135"/>
    </row>
    <row r="147" spans="2:33" x14ac:dyDescent="0.2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c r="AD147" s="135"/>
      <c r="AE147" s="135"/>
      <c r="AF147" s="135"/>
      <c r="AG147" s="135"/>
    </row>
    <row r="148" spans="2:33" ht="3" customHeight="1" x14ac:dyDescent="0.25"/>
    <row r="149" spans="2:33" x14ac:dyDescent="0.25">
      <c r="B149" t="s">
        <v>334</v>
      </c>
    </row>
    <row r="150" spans="2:33" ht="3" customHeight="1" x14ac:dyDescent="0.25"/>
    <row r="151" spans="2:33" x14ac:dyDescent="0.25">
      <c r="B151" t="s">
        <v>335</v>
      </c>
    </row>
    <row r="152" spans="2:33" ht="3" customHeight="1" x14ac:dyDescent="0.25"/>
    <row r="153" spans="2:33" x14ac:dyDescent="0.25">
      <c r="C153" s="259" t="s">
        <v>194</v>
      </c>
      <c r="D153" s="259"/>
      <c r="E153" s="259"/>
      <c r="F153" s="259"/>
      <c r="G153" s="259"/>
      <c r="H153" s="259"/>
      <c r="I153" s="259"/>
      <c r="J153" s="259"/>
      <c r="K153" s="259"/>
      <c r="L153" s="259"/>
      <c r="M153" s="259"/>
      <c r="N153" s="259"/>
      <c r="O153" s="259"/>
      <c r="P153" s="259"/>
      <c r="Q153" s="259"/>
      <c r="R153" s="259"/>
      <c r="S153" s="259"/>
      <c r="T153" s="259"/>
      <c r="U153" s="259"/>
      <c r="V153" s="259"/>
      <c r="W153" s="259"/>
      <c r="X153" s="259"/>
      <c r="Y153" s="259"/>
      <c r="Z153" s="259"/>
      <c r="AA153" s="259"/>
      <c r="AB153" s="259"/>
      <c r="AC153" s="259"/>
      <c r="AD153" s="259"/>
      <c r="AE153" s="259"/>
      <c r="AF153" s="259"/>
      <c r="AG153" s="259"/>
    </row>
    <row r="154" spans="2:33" x14ac:dyDescent="0.25">
      <c r="C154" s="259"/>
      <c r="D154" s="259"/>
      <c r="E154" s="259"/>
      <c r="F154" s="259"/>
      <c r="G154" s="259"/>
      <c r="H154" s="259"/>
      <c r="I154" s="259"/>
      <c r="J154" s="259"/>
      <c r="K154" s="259"/>
      <c r="L154" s="259"/>
      <c r="M154" s="259"/>
      <c r="N154" s="259"/>
      <c r="O154" s="259"/>
      <c r="P154" s="259"/>
      <c r="Q154" s="259"/>
      <c r="R154" s="259"/>
      <c r="S154" s="259"/>
      <c r="T154" s="259"/>
      <c r="U154" s="259"/>
      <c r="V154" s="259"/>
      <c r="W154" s="259"/>
      <c r="X154" s="259"/>
      <c r="Y154" s="259"/>
      <c r="Z154" s="259"/>
      <c r="AA154" s="259"/>
      <c r="AB154" s="259"/>
      <c r="AC154" s="259"/>
      <c r="AD154" s="259"/>
      <c r="AE154" s="259"/>
      <c r="AF154" s="259"/>
      <c r="AG154" s="259"/>
    </row>
    <row r="155" spans="2:33" ht="3" customHeight="1" x14ac:dyDescent="0.25"/>
    <row r="156" spans="2:33" ht="15" customHeight="1" x14ac:dyDescent="0.25">
      <c r="C156" s="135" t="s">
        <v>195</v>
      </c>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row>
    <row r="157" spans="2:33" x14ac:dyDescent="0.25">
      <c r="C157" s="135"/>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c r="AA157" s="135"/>
      <c r="AB157" s="135"/>
      <c r="AC157" s="135"/>
      <c r="AD157" s="135"/>
      <c r="AE157" s="135"/>
      <c r="AF157" s="135"/>
      <c r="AG157" s="135"/>
    </row>
    <row r="158" spans="2:33" x14ac:dyDescent="0.25">
      <c r="C158" s="135"/>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row>
    <row r="159" spans="2:33" ht="3" customHeight="1" x14ac:dyDescent="0.25"/>
    <row r="160" spans="2:33" x14ac:dyDescent="0.25">
      <c r="B160" t="s">
        <v>336</v>
      </c>
    </row>
    <row r="161" spans="2:33" ht="3" customHeight="1" x14ac:dyDescent="0.25"/>
    <row r="162" spans="2:33" x14ac:dyDescent="0.25">
      <c r="B162" t="s">
        <v>337</v>
      </c>
    </row>
    <row r="163" spans="2:33" ht="3" customHeight="1" x14ac:dyDescent="0.25"/>
    <row r="164" spans="2:33" x14ac:dyDescent="0.25">
      <c r="B164" t="s">
        <v>338</v>
      </c>
    </row>
    <row r="165" spans="2:33" x14ac:dyDescent="0.25">
      <c r="B165" s="135" t="s">
        <v>360</v>
      </c>
      <c r="C165" s="135"/>
      <c r="D165" s="135"/>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c r="AA165" s="135"/>
      <c r="AB165" s="135"/>
      <c r="AC165" s="135"/>
      <c r="AD165" s="135"/>
      <c r="AE165" s="135"/>
      <c r="AF165" s="135"/>
      <c r="AG165" s="135"/>
    </row>
    <row r="166" spans="2:33" x14ac:dyDescent="0.2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row>
    <row r="167" spans="2:33" x14ac:dyDescent="0.25">
      <c r="C167" t="s">
        <v>359</v>
      </c>
    </row>
    <row r="168" spans="2:33" x14ac:dyDescent="0.25">
      <c r="C168" s="135" t="s">
        <v>356</v>
      </c>
      <c r="D168" s="135"/>
      <c r="E168" s="135"/>
      <c r="F168" s="135"/>
      <c r="G168" s="135"/>
      <c r="H168" s="135"/>
      <c r="I168" s="135"/>
      <c r="J168" s="135"/>
      <c r="K168" s="135"/>
      <c r="L168" s="135"/>
      <c r="M168" s="135"/>
      <c r="N168" s="135"/>
      <c r="O168" s="135"/>
      <c r="P168" s="135"/>
      <c r="Q168" s="135"/>
      <c r="R168" s="135"/>
      <c r="S168" s="135"/>
      <c r="T168" s="135"/>
      <c r="U168" s="135"/>
      <c r="V168" s="135"/>
      <c r="W168" s="135"/>
      <c r="X168" s="135"/>
      <c r="Y168" s="135"/>
      <c r="Z168" s="135"/>
      <c r="AA168" s="135"/>
      <c r="AB168" s="135"/>
      <c r="AC168" s="135"/>
      <c r="AD168" s="135"/>
      <c r="AE168" s="135"/>
      <c r="AF168" s="135"/>
      <c r="AG168" s="135"/>
    </row>
    <row r="169" spans="2:33" x14ac:dyDescent="0.25">
      <c r="C169" s="135"/>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c r="AD169" s="135"/>
      <c r="AE169" s="135"/>
      <c r="AF169" s="135"/>
      <c r="AG169" s="135"/>
    </row>
    <row r="170" spans="2:33" x14ac:dyDescent="0.25">
      <c r="C170" t="s">
        <v>357</v>
      </c>
    </row>
    <row r="171" spans="2:33" x14ac:dyDescent="0.25">
      <c r="C171" t="s">
        <v>358</v>
      </c>
    </row>
  </sheetData>
  <sheetProtection algorithmName="SHA-512" hashValue="w46p5emYSVL9mQV0RoP6Rr1ZZeBfY/dVBzlZansNzz+5nWeQpd+njne5uMv0KRifLypp1UKTgEi/Euuvvk7cRQ==" saltValue="b3lgDHbIepdHJXitzBBXOQ==" spinCount="100000" sheet="1" objects="1" scenarios="1"/>
  <mergeCells count="57">
    <mergeCell ref="B165:AG166"/>
    <mergeCell ref="C168:AG169"/>
    <mergeCell ref="C156:AG158"/>
    <mergeCell ref="B4:AG6"/>
    <mergeCell ref="B8:AG9"/>
    <mergeCell ref="B11:AG12"/>
    <mergeCell ref="B130:AG132"/>
    <mergeCell ref="B136:AG138"/>
    <mergeCell ref="B146:AG147"/>
    <mergeCell ref="C153:AG154"/>
    <mergeCell ref="C119:AG121"/>
    <mergeCell ref="C123:AG126"/>
    <mergeCell ref="C106:AG108"/>
    <mergeCell ref="C110:AG114"/>
    <mergeCell ref="C116:AG117"/>
    <mergeCell ref="B80:AG83"/>
    <mergeCell ref="C87:AH88"/>
    <mergeCell ref="C102:AG104"/>
    <mergeCell ref="B39:AG40"/>
    <mergeCell ref="B42:AG44"/>
    <mergeCell ref="B47:AG48"/>
    <mergeCell ref="B50:AG53"/>
    <mergeCell ref="C94:AH98"/>
    <mergeCell ref="B45:AG46"/>
    <mergeCell ref="B71:AG77"/>
    <mergeCell ref="B55:AG56"/>
    <mergeCell ref="B64:AG65"/>
    <mergeCell ref="B66:AG66"/>
    <mergeCell ref="B67:AG69"/>
    <mergeCell ref="B26:AG28"/>
    <mergeCell ref="B23:AG24"/>
    <mergeCell ref="B31:AG33"/>
    <mergeCell ref="B35:AG37"/>
    <mergeCell ref="F20:I20"/>
    <mergeCell ref="J20:Q20"/>
    <mergeCell ref="R20:U20"/>
    <mergeCell ref="V20:AA20"/>
    <mergeCell ref="F21:I21"/>
    <mergeCell ref="J21:Q21"/>
    <mergeCell ref="R21:U21"/>
    <mergeCell ref="V21:AA21"/>
    <mergeCell ref="F16:I16"/>
    <mergeCell ref="F17:I17"/>
    <mergeCell ref="J16:Q16"/>
    <mergeCell ref="R16:U16"/>
    <mergeCell ref="V16:AA16"/>
    <mergeCell ref="J17:Q17"/>
    <mergeCell ref="R17:U17"/>
    <mergeCell ref="V17:AA17"/>
    <mergeCell ref="F18:I18"/>
    <mergeCell ref="J18:Q18"/>
    <mergeCell ref="R18:U18"/>
    <mergeCell ref="V18:AA18"/>
    <mergeCell ref="F19:I19"/>
    <mergeCell ref="J19:Q19"/>
    <mergeCell ref="R19:U19"/>
    <mergeCell ref="V19:AA19"/>
  </mergeCells>
  <pageMargins left="0.70866141732283461" right="0.70866141732283461" top="0.74803149606299213" bottom="0.3543307086614173" header="0.31496062992125984" footer="0.31496062992125984"/>
  <pageSetup paperSize="9" orientation="landscape" r:id="rId1"/>
  <headerFooter>
    <oddHeader xml:space="preserve">&amp;C </oddHeader>
    <oddFooter>&amp;R_x000D_&amp;1#&amp;"Calibri"&amp;10&amp;K000000 Classificação: Público</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DA7DF-57A8-442F-8984-D02A4E3D7DB0}">
  <sheetPr codeName="Planilha2"/>
  <dimension ref="A2:V70"/>
  <sheetViews>
    <sheetView topLeftCell="S1" workbookViewId="0">
      <selection activeCell="V15" sqref="V15"/>
    </sheetView>
  </sheetViews>
  <sheetFormatPr defaultRowHeight="15" x14ac:dyDescent="0.25"/>
  <cols>
    <col min="2" max="2" width="87.42578125" bestFit="1" customWidth="1"/>
    <col min="3" max="3" width="12.42578125" bestFit="1" customWidth="1"/>
    <col min="6" max="6" width="15.28515625" customWidth="1"/>
    <col min="8" max="8" width="14.140625" bestFit="1" customWidth="1"/>
    <col min="9" max="9" width="15.28515625" bestFit="1" customWidth="1"/>
    <col min="10" max="10" width="15.5703125" bestFit="1" customWidth="1"/>
    <col min="11" max="11" width="17" bestFit="1" customWidth="1"/>
    <col min="12" max="12" width="17.42578125" bestFit="1" customWidth="1"/>
    <col min="15" max="15" width="9.140625" style="19"/>
    <col min="16" max="16" width="22.5703125" style="19" bestFit="1" customWidth="1"/>
    <col min="17" max="17" width="7" style="19" customWidth="1"/>
    <col min="18" max="18" width="12.85546875" style="19" customWidth="1"/>
    <col min="20" max="20" width="24.140625" bestFit="1" customWidth="1"/>
  </cols>
  <sheetData>
    <row r="2" spans="2:22" x14ac:dyDescent="0.25">
      <c r="V2" t="s">
        <v>221</v>
      </c>
    </row>
    <row r="3" spans="2:22" x14ac:dyDescent="0.25">
      <c r="B3" s="27" t="s">
        <v>80</v>
      </c>
      <c r="D3" t="s">
        <v>88</v>
      </c>
      <c r="H3" t="s">
        <v>30</v>
      </c>
      <c r="I3" t="s">
        <v>31</v>
      </c>
      <c r="J3" t="s">
        <v>32</v>
      </c>
      <c r="K3" t="s">
        <v>33</v>
      </c>
      <c r="L3" t="s">
        <v>34</v>
      </c>
      <c r="O3" s="19" t="s">
        <v>142</v>
      </c>
      <c r="P3" s="19" t="s">
        <v>143</v>
      </c>
      <c r="R3" s="19" t="s">
        <v>148</v>
      </c>
      <c r="T3" t="s">
        <v>147</v>
      </c>
      <c r="V3">
        <f>IF(TipoSE="Nº 1",1,0)</f>
        <v>0</v>
      </c>
    </row>
    <row r="4" spans="2:22" x14ac:dyDescent="0.25">
      <c r="B4" t="s">
        <v>9</v>
      </c>
      <c r="C4" t="b">
        <f>B4=Formulário!$I$41</f>
        <v>0</v>
      </c>
      <c r="D4">
        <f>IF(Formulário!$I$41=Dados!B4,1,0)</f>
        <v>0</v>
      </c>
      <c r="H4">
        <v>22</v>
      </c>
      <c r="I4">
        <v>487307</v>
      </c>
      <c r="J4">
        <v>833012</v>
      </c>
      <c r="K4">
        <v>7733378</v>
      </c>
      <c r="L4">
        <v>7981566</v>
      </c>
      <c r="O4" s="19" t="s">
        <v>144</v>
      </c>
      <c r="P4" s="19">
        <v>75</v>
      </c>
      <c r="R4" s="19">
        <v>1</v>
      </c>
      <c r="T4" s="19">
        <v>100</v>
      </c>
    </row>
    <row r="5" spans="2:22" x14ac:dyDescent="0.25">
      <c r="B5" t="s">
        <v>8</v>
      </c>
      <c r="C5" t="b">
        <f>B5=Formulário!$I$41</f>
        <v>0</v>
      </c>
      <c r="D5">
        <f>IF(Formulário!$I$41=Dados!B5,2,0)</f>
        <v>0</v>
      </c>
      <c r="H5">
        <v>23</v>
      </c>
      <c r="I5">
        <v>161564</v>
      </c>
      <c r="J5">
        <v>840139</v>
      </c>
      <c r="K5">
        <v>7460145</v>
      </c>
      <c r="L5">
        <v>8435094</v>
      </c>
      <c r="O5" s="19" t="s">
        <v>144</v>
      </c>
      <c r="P5" s="19">
        <v>112.5</v>
      </c>
      <c r="R5" s="19">
        <v>2</v>
      </c>
      <c r="T5" s="19">
        <v>200</v>
      </c>
      <c r="V5" t="s">
        <v>141</v>
      </c>
    </row>
    <row r="6" spans="2:22" x14ac:dyDescent="0.25">
      <c r="B6" t="s">
        <v>10</v>
      </c>
      <c r="C6" t="b">
        <f>B6=Formulário!$I$41</f>
        <v>0</v>
      </c>
      <c r="D6">
        <f>IF(Formulário!$I$41=Dados!B6,3,0)</f>
        <v>0</v>
      </c>
      <c r="H6">
        <v>24</v>
      </c>
      <c r="I6">
        <v>164869</v>
      </c>
      <c r="J6">
        <v>417150</v>
      </c>
      <c r="K6">
        <v>7673180</v>
      </c>
      <c r="L6">
        <v>8336360</v>
      </c>
      <c r="O6" s="19" t="s">
        <v>144</v>
      </c>
      <c r="P6" s="19">
        <v>150</v>
      </c>
      <c r="R6" s="19">
        <v>3</v>
      </c>
      <c r="T6" s="19">
        <v>300</v>
      </c>
      <c r="V6" t="s">
        <v>222</v>
      </c>
    </row>
    <row r="7" spans="2:22" x14ac:dyDescent="0.25">
      <c r="B7" t="s">
        <v>7</v>
      </c>
      <c r="C7" t="b">
        <f>B7=Formulário!$I$41</f>
        <v>0</v>
      </c>
      <c r="D7">
        <f>IF(Formulário!$I$41=Dados!B7,4,0)</f>
        <v>0</v>
      </c>
      <c r="O7" s="19" t="s">
        <v>144</v>
      </c>
      <c r="P7" s="19">
        <v>225</v>
      </c>
      <c r="R7" s="19">
        <v>4</v>
      </c>
      <c r="T7" s="19">
        <v>500</v>
      </c>
    </row>
    <row r="8" spans="2:22" x14ac:dyDescent="0.25">
      <c r="O8" s="19" t="s">
        <v>144</v>
      </c>
      <c r="P8" s="19">
        <v>300</v>
      </c>
      <c r="T8" s="19">
        <v>700</v>
      </c>
    </row>
    <row r="9" spans="2:22" x14ac:dyDescent="0.25">
      <c r="H9" t="s">
        <v>140</v>
      </c>
      <c r="I9" t="s">
        <v>136</v>
      </c>
      <c r="J9" t="s">
        <v>137</v>
      </c>
      <c r="K9" t="s">
        <v>138</v>
      </c>
      <c r="L9" t="s">
        <v>139</v>
      </c>
      <c r="O9" s="19" t="s">
        <v>145</v>
      </c>
      <c r="P9" s="19">
        <v>75</v>
      </c>
      <c r="V9" t="s">
        <v>362</v>
      </c>
    </row>
    <row r="10" spans="2:22" x14ac:dyDescent="0.25">
      <c r="H10">
        <f>Formulário!V29</f>
        <v>0</v>
      </c>
      <c r="I10" t="e">
        <f>VLOOKUP($H$10,$H$4:$L$6,COLUMN()-7,FALSE)</f>
        <v>#N/A</v>
      </c>
      <c r="J10" t="e">
        <f t="shared" ref="J10:L10" si="0">VLOOKUP($H$10,$H$4:$L$6,COLUMN()-7,FALSE)</f>
        <v>#N/A</v>
      </c>
      <c r="K10" t="e">
        <f t="shared" si="0"/>
        <v>#N/A</v>
      </c>
      <c r="L10" t="e">
        <f t="shared" si="0"/>
        <v>#N/A</v>
      </c>
      <c r="O10" s="19" t="s">
        <v>145</v>
      </c>
      <c r="P10" s="19">
        <v>112.5</v>
      </c>
      <c r="V10" t="s">
        <v>363</v>
      </c>
    </row>
    <row r="11" spans="2:22" x14ac:dyDescent="0.25">
      <c r="O11" s="19" t="s">
        <v>145</v>
      </c>
      <c r="P11" s="19">
        <v>150</v>
      </c>
    </row>
    <row r="12" spans="2:22" x14ac:dyDescent="0.25">
      <c r="B12" t="s">
        <v>79</v>
      </c>
      <c r="D12" t="s">
        <v>89</v>
      </c>
      <c r="O12" s="19" t="s">
        <v>145</v>
      </c>
      <c r="P12" s="19">
        <v>225</v>
      </c>
      <c r="V12" t="s">
        <v>378</v>
      </c>
    </row>
    <row r="13" spans="2:22" x14ac:dyDescent="0.25">
      <c r="B13" s="27" t="s">
        <v>75</v>
      </c>
      <c r="D13">
        <f>IF(Formulário!$I$43=Dados!B13,1,0)</f>
        <v>0</v>
      </c>
      <c r="O13" s="19" t="s">
        <v>145</v>
      </c>
      <c r="P13" s="19">
        <v>300</v>
      </c>
      <c r="V13" t="s">
        <v>402</v>
      </c>
    </row>
    <row r="14" spans="2:22" x14ac:dyDescent="0.25">
      <c r="B14" s="27" t="s">
        <v>76</v>
      </c>
      <c r="D14">
        <f>IF(Formulário!$I$43=Dados!B14,2,0)</f>
        <v>0</v>
      </c>
      <c r="O14" s="19" t="s">
        <v>146</v>
      </c>
      <c r="P14" s="19">
        <v>75</v>
      </c>
      <c r="V14" t="s">
        <v>401</v>
      </c>
    </row>
    <row r="15" spans="2:22" x14ac:dyDescent="0.25">
      <c r="B15" s="27" t="s">
        <v>77</v>
      </c>
      <c r="D15">
        <f>IF(Formulário!$I$43=Dados!B15,3,0)</f>
        <v>0</v>
      </c>
      <c r="O15" s="19" t="s">
        <v>146</v>
      </c>
      <c r="P15" s="19">
        <v>112.5</v>
      </c>
      <c r="V15" t="s">
        <v>391</v>
      </c>
    </row>
    <row r="16" spans="2:22" x14ac:dyDescent="0.25">
      <c r="B16" s="27" t="s">
        <v>78</v>
      </c>
      <c r="D16">
        <f>IF(Formulário!$I$43=Dados!B16,4,0)</f>
        <v>0</v>
      </c>
      <c r="O16" s="19" t="s">
        <v>146</v>
      </c>
      <c r="P16" s="19">
        <v>150</v>
      </c>
    </row>
    <row r="17" spans="2:22" x14ac:dyDescent="0.25">
      <c r="O17" s="19" t="s">
        <v>146</v>
      </c>
      <c r="P17" s="19">
        <v>225</v>
      </c>
      <c r="V17" t="s">
        <v>383</v>
      </c>
    </row>
    <row r="18" spans="2:22" x14ac:dyDescent="0.25">
      <c r="C18" s="19" t="str">
        <f>Grupo</f>
        <v>B</v>
      </c>
      <c r="I18" t="str" cm="1">
        <f t="array" ref="I18">IF(OR(TipoSE="Nº 1",TipoSE="Nº 5",TipoSE="Nº 8"),Dados!$P$4:$P$8,"---")</f>
        <v>---</v>
      </c>
      <c r="O18" s="19" t="s">
        <v>146</v>
      </c>
      <c r="P18" s="19">
        <v>300</v>
      </c>
    </row>
    <row r="19" spans="2:22" x14ac:dyDescent="0.25">
      <c r="B19" s="19" t="s">
        <v>81</v>
      </c>
      <c r="C19" s="19" t="s">
        <v>85</v>
      </c>
      <c r="E19" t="s">
        <v>324</v>
      </c>
      <c r="V19" t="s">
        <v>309</v>
      </c>
    </row>
    <row r="20" spans="2:22" x14ac:dyDescent="0.25">
      <c r="B20" s="19">
        <v>13800</v>
      </c>
      <c r="C20" s="19" t="str">
        <f>IF(Grupo="A",B20,IF(Grupo="B",B26,""))</f>
        <v>127/220</v>
      </c>
      <c r="E20" s="19">
        <v>22000</v>
      </c>
    </row>
    <row r="21" spans="2:22" x14ac:dyDescent="0.25">
      <c r="B21" s="19">
        <v>22000</v>
      </c>
      <c r="C21" s="19" t="str">
        <f>IF(Grupo="A",B21,IF(Grupo="B",B27,""))</f>
        <v>120/240</v>
      </c>
      <c r="E21" s="19">
        <v>34500</v>
      </c>
    </row>
    <row r="22" spans="2:22" x14ac:dyDescent="0.25">
      <c r="B22" s="19">
        <v>34500</v>
      </c>
      <c r="C22" s="19" t="str">
        <f>IF(Grupo="A",B22,IF(Grupo="B","",""))</f>
        <v/>
      </c>
    </row>
    <row r="23" spans="2:22" x14ac:dyDescent="0.25">
      <c r="C23" s="19"/>
    </row>
    <row r="24" spans="2:22" x14ac:dyDescent="0.25">
      <c r="C24" s="19"/>
    </row>
    <row r="25" spans="2:22" x14ac:dyDescent="0.25">
      <c r="B25" s="19" t="s">
        <v>82</v>
      </c>
      <c r="C25" s="19"/>
    </row>
    <row r="26" spans="2:22" x14ac:dyDescent="0.25">
      <c r="B26" s="19" t="s">
        <v>83</v>
      </c>
      <c r="C26" s="19"/>
    </row>
    <row r="27" spans="2:22" x14ac:dyDescent="0.25">
      <c r="B27" s="19" t="s">
        <v>84</v>
      </c>
    </row>
    <row r="28" spans="2:22" x14ac:dyDescent="0.25">
      <c r="B28" s="19"/>
      <c r="C28" t="str">
        <f>IF(OR(Formulário!$AH$47&gt;=300,Formulário!$AH$49&gt;=300),"1Tipo","2Tipos")</f>
        <v>2Tipos</v>
      </c>
    </row>
    <row r="29" spans="2:22" x14ac:dyDescent="0.25">
      <c r="B29" s="19" t="s">
        <v>65</v>
      </c>
      <c r="C29" t="s">
        <v>87</v>
      </c>
    </row>
    <row r="30" spans="2:22" x14ac:dyDescent="0.25">
      <c r="B30" s="19" t="s">
        <v>68</v>
      </c>
      <c r="C30" t="str">
        <f>IF($C$28="2Tipos",B30,B31)</f>
        <v>Aéreo</v>
      </c>
    </row>
    <row r="31" spans="2:22" x14ac:dyDescent="0.25">
      <c r="B31" s="19" t="s">
        <v>86</v>
      </c>
      <c r="C31" t="str">
        <f>IF($C$28="2Tipos",B31,B32)</f>
        <v>Subterrâneo</v>
      </c>
    </row>
    <row r="34" spans="2:2" x14ac:dyDescent="0.25">
      <c r="B34" s="19" t="s">
        <v>228</v>
      </c>
    </row>
    <row r="35" spans="2:2" x14ac:dyDescent="0.25">
      <c r="B35" s="19" t="s">
        <v>74</v>
      </c>
    </row>
    <row r="36" spans="2:2" x14ac:dyDescent="0.25">
      <c r="B36" s="19" t="s">
        <v>66</v>
      </c>
    </row>
    <row r="37" spans="2:2" x14ac:dyDescent="0.25">
      <c r="B37" s="19" t="s">
        <v>67</v>
      </c>
    </row>
    <row r="38" spans="2:2" x14ac:dyDescent="0.25">
      <c r="B38" s="19" t="s">
        <v>229</v>
      </c>
    </row>
    <row r="40" spans="2:2" x14ac:dyDescent="0.25">
      <c r="B40" s="19"/>
    </row>
    <row r="41" spans="2:2" x14ac:dyDescent="0.25">
      <c r="B41" s="19" t="s">
        <v>228</v>
      </c>
    </row>
    <row r="42" spans="2:2" x14ac:dyDescent="0.25">
      <c r="B42" s="19" t="s">
        <v>74</v>
      </c>
    </row>
    <row r="43" spans="2:2" x14ac:dyDescent="0.25">
      <c r="B43" s="19" t="s">
        <v>66</v>
      </c>
    </row>
    <row r="44" spans="2:2" x14ac:dyDescent="0.25">
      <c r="B44" s="19" t="s">
        <v>67</v>
      </c>
    </row>
    <row r="45" spans="2:2" x14ac:dyDescent="0.25">
      <c r="B45" s="19" t="s">
        <v>237</v>
      </c>
    </row>
    <row r="47" spans="2:2" x14ac:dyDescent="0.25">
      <c r="B47" s="19" t="s">
        <v>282</v>
      </c>
    </row>
    <row r="48" spans="2:2" x14ac:dyDescent="0.25">
      <c r="B48" t="s">
        <v>283</v>
      </c>
    </row>
    <row r="49" spans="1:2" x14ac:dyDescent="0.25">
      <c r="B49" t="s">
        <v>284</v>
      </c>
    </row>
    <row r="50" spans="1:2" x14ac:dyDescent="0.25">
      <c r="B50" s="53" t="s">
        <v>285</v>
      </c>
    </row>
    <row r="51" spans="1:2" x14ac:dyDescent="0.25">
      <c r="B51" t="s">
        <v>286</v>
      </c>
    </row>
    <row r="53" spans="1:2" x14ac:dyDescent="0.25">
      <c r="B53" s="81" t="s">
        <v>288</v>
      </c>
    </row>
    <row r="54" spans="1:2" x14ac:dyDescent="0.25">
      <c r="B54" t="s">
        <v>381</v>
      </c>
    </row>
    <row r="55" spans="1:2" x14ac:dyDescent="0.25">
      <c r="B55" t="s">
        <v>289</v>
      </c>
    </row>
    <row r="56" spans="1:2" x14ac:dyDescent="0.25">
      <c r="B56" t="s">
        <v>290</v>
      </c>
    </row>
    <row r="57" spans="1:2" x14ac:dyDescent="0.25">
      <c r="B57" t="s">
        <v>291</v>
      </c>
    </row>
    <row r="59" spans="1:2" x14ac:dyDescent="0.25">
      <c r="B59" t="s">
        <v>339</v>
      </c>
    </row>
    <row r="60" spans="1:2" x14ac:dyDescent="0.25">
      <c r="A60" t="s">
        <v>222</v>
      </c>
      <c r="B60" t="s">
        <v>353</v>
      </c>
    </row>
    <row r="61" spans="1:2" x14ac:dyDescent="0.25">
      <c r="A61" t="s">
        <v>141</v>
      </c>
      <c r="B61" t="s">
        <v>350</v>
      </c>
    </row>
    <row r="62" spans="1:2" x14ac:dyDescent="0.25">
      <c r="A62" t="s">
        <v>345</v>
      </c>
    </row>
    <row r="63" spans="1:2" x14ac:dyDescent="0.25">
      <c r="A63" t="s">
        <v>346</v>
      </c>
      <c r="B63" s="47" t="s">
        <v>348</v>
      </c>
    </row>
    <row r="64" spans="1:2" x14ac:dyDescent="0.25">
      <c r="A64" t="s">
        <v>347</v>
      </c>
      <c r="B64" s="47" t="s">
        <v>349</v>
      </c>
    </row>
    <row r="66" spans="2:2" x14ac:dyDescent="0.25">
      <c r="B66" t="s">
        <v>387</v>
      </c>
    </row>
    <row r="67" spans="2:2" x14ac:dyDescent="0.25">
      <c r="B67" t="str" cm="1">
        <f t="array" ref="B67:B70">IF(Formulário!AL12=Dados!V5,Modalidade_FAST,Modalidade_GERAL)</f>
        <v>Autoconsumo local</v>
      </c>
    </row>
    <row r="68" spans="2:2" x14ac:dyDescent="0.25">
      <c r="B68" t="str">
        <v>Autoconsumo remoto</v>
      </c>
    </row>
    <row r="69" spans="2:2" x14ac:dyDescent="0.25">
      <c r="B69" t="str">
        <v>Geração compartilhada</v>
      </c>
    </row>
    <row r="70" spans="2:2" x14ac:dyDescent="0.25">
      <c r="B70" t="str">
        <v>Múltiplas Unidades Consumidoras</v>
      </c>
    </row>
  </sheetData>
  <sheetProtection algorithmName="SHA-512" hashValue="7k5PJ78IVuPZkDb2qKhl7H10otot8Jjo2EhOtUEClvCHcASo4Q8H3qAJNvFb9svOw9Jx1TZGnVEK7Mhuqbpe0g==" saltValue="NhygSSVKvkz4RvkFElJ7wg==" spinCount="100000" sheet="1" objects="1" scenarios="1"/>
  <sortState xmlns:xlrd2="http://schemas.microsoft.com/office/spreadsheetml/2017/richdata2" ref="B4:B7">
    <sortCondition ref="B4:B7"/>
  </sortState>
  <phoneticPr fontId="16" type="noConversion"/>
  <pageMargins left="0.511811024" right="0.511811024" top="0.78740157499999996" bottom="0.78740157499999996" header="0.31496062000000002" footer="0.31496062000000002"/>
  <pageSetup paperSize="9" orientation="portrait" r:id="rId1"/>
  <headerFooter>
    <oddFooter>&amp;R_x000D_&amp;1#&amp;"Calibri"&amp;10&amp;K000000 Classificação: Público</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3"/>
  <dimension ref="A1:M147"/>
  <sheetViews>
    <sheetView topLeftCell="A49" workbookViewId="0">
      <selection activeCell="M3" sqref="M3"/>
    </sheetView>
  </sheetViews>
  <sheetFormatPr defaultRowHeight="15" x14ac:dyDescent="0.25"/>
  <cols>
    <col min="1" max="1" width="35.85546875" customWidth="1"/>
    <col min="2" max="2" width="13.140625" bestFit="1" customWidth="1"/>
    <col min="3" max="3" width="33.28515625" bestFit="1" customWidth="1"/>
    <col min="4" max="4" width="15.5703125" bestFit="1" customWidth="1"/>
    <col min="5" max="5" width="17" bestFit="1" customWidth="1"/>
    <col min="6" max="6" width="17.42578125" bestFit="1" customWidth="1"/>
    <col min="8" max="8" width="3" bestFit="1" customWidth="1"/>
    <col min="9" max="9" width="11.5703125" bestFit="1" customWidth="1"/>
  </cols>
  <sheetData>
    <row r="1" spans="1:13" x14ac:dyDescent="0.25">
      <c r="A1" s="10" t="s">
        <v>29</v>
      </c>
      <c r="B1" t="s">
        <v>30</v>
      </c>
      <c r="C1" t="s">
        <v>31</v>
      </c>
      <c r="D1" t="s">
        <v>32</v>
      </c>
      <c r="E1" t="s">
        <v>33</v>
      </c>
      <c r="F1" t="s">
        <v>34</v>
      </c>
    </row>
    <row r="2" spans="1:13" x14ac:dyDescent="0.25">
      <c r="A2" t="s">
        <v>7</v>
      </c>
      <c r="B2">
        <v>22</v>
      </c>
      <c r="C2">
        <v>487307</v>
      </c>
      <c r="D2">
        <v>833012</v>
      </c>
      <c r="E2">
        <v>7733378</v>
      </c>
      <c r="F2">
        <v>7981566</v>
      </c>
      <c r="H2">
        <f>Formulário!V29</f>
        <v>0</v>
      </c>
      <c r="I2">
        <f>Formulário!AC29</f>
        <v>0</v>
      </c>
      <c r="K2">
        <f>Formulário!AL29</f>
        <v>0</v>
      </c>
      <c r="M2" t="s">
        <v>392</v>
      </c>
    </row>
    <row r="3" spans="1:13" x14ac:dyDescent="0.25">
      <c r="A3" t="s">
        <v>8</v>
      </c>
      <c r="B3">
        <v>23</v>
      </c>
      <c r="C3">
        <v>161564</v>
      </c>
      <c r="D3">
        <v>840139</v>
      </c>
      <c r="E3">
        <v>7460145</v>
      </c>
      <c r="F3">
        <v>8435094</v>
      </c>
      <c r="H3">
        <f>H2</f>
        <v>0</v>
      </c>
      <c r="I3" t="str">
        <f>IFERROR(VLOOKUP($H$2,$B$2:$F$4,2,FALSE),"")</f>
        <v/>
      </c>
      <c r="J3" t="str">
        <f>IFERROR(VLOOKUP($H$2,$B$2:$F$4,3,FALSE),"")</f>
        <v/>
      </c>
      <c r="K3" t="str">
        <f>IFERROR(VLOOKUP($H$2,$B$2:$F$4,4,FALSE),"")</f>
        <v/>
      </c>
      <c r="L3" t="str">
        <f>IFERROR(VLOOKUP($H$2,$B$2:$F$4,5,FALSE),"")</f>
        <v/>
      </c>
    </row>
    <row r="4" spans="1:13" x14ac:dyDescent="0.25">
      <c r="A4" t="s">
        <v>9</v>
      </c>
      <c r="B4">
        <v>24</v>
      </c>
      <c r="C4">
        <v>164869</v>
      </c>
      <c r="D4">
        <v>417150</v>
      </c>
      <c r="E4">
        <v>7673180</v>
      </c>
      <c r="F4">
        <v>8336360</v>
      </c>
      <c r="I4" t="str">
        <f>IFERROR(IF(AND(I2&gt;=I3,I2&lt;=J3),"Ok","Erro"),"")</f>
        <v>Erro</v>
      </c>
      <c r="K4" t="str">
        <f>IF(AND(K2&gt;=K3,K2&lt;=L3),"Ok","Erro")</f>
        <v>Erro</v>
      </c>
    </row>
    <row r="5" spans="1:13" x14ac:dyDescent="0.25">
      <c r="A5" t="s">
        <v>10</v>
      </c>
    </row>
    <row r="9" spans="1:13" ht="18.75" x14ac:dyDescent="0.3">
      <c r="A9" s="26" t="s">
        <v>242</v>
      </c>
    </row>
    <row r="10" spans="1:13" ht="15.75" x14ac:dyDescent="0.25">
      <c r="A10" s="260" t="s">
        <v>70</v>
      </c>
      <c r="B10" s="260"/>
      <c r="C10" s="261" t="s">
        <v>71</v>
      </c>
      <c r="F10" t="s">
        <v>354</v>
      </c>
      <c r="G10" t="e">
        <f>IF(OR(Formulário!I41=Apoio!I10,Formulário!I41=Apoio!I11),Apoio!J13,Apoio!J18)</f>
        <v>#N/A</v>
      </c>
      <c r="I10" t="s">
        <v>9</v>
      </c>
    </row>
    <row r="11" spans="1:13" ht="15.75" x14ac:dyDescent="0.25">
      <c r="A11" s="23" t="s">
        <v>72</v>
      </c>
      <c r="B11" s="23" t="s">
        <v>73</v>
      </c>
      <c r="C11" s="261"/>
      <c r="I11" t="s">
        <v>10</v>
      </c>
    </row>
    <row r="12" spans="1:13" ht="15.75" x14ac:dyDescent="0.25">
      <c r="A12" s="24" t="s">
        <v>74</v>
      </c>
      <c r="B12" s="24">
        <v>40</v>
      </c>
      <c r="C12" s="30">
        <v>5</v>
      </c>
      <c r="D12" t="s">
        <v>91</v>
      </c>
      <c r="E12" s="30">
        <v>5</v>
      </c>
      <c r="I12" t="s">
        <v>70</v>
      </c>
      <c r="J12" t="str">
        <f>CONCATENATE(Formulário!AB49,Formulário!AH49)</f>
        <v/>
      </c>
    </row>
    <row r="13" spans="1:13" ht="15.75" x14ac:dyDescent="0.25">
      <c r="A13" s="24" t="s">
        <v>74</v>
      </c>
      <c r="B13" s="24">
        <v>50</v>
      </c>
      <c r="C13" s="24">
        <v>6.5</v>
      </c>
      <c r="D13" t="s">
        <v>92</v>
      </c>
      <c r="E13" s="24">
        <v>6.5</v>
      </c>
      <c r="I13" t="s">
        <v>355</v>
      </c>
      <c r="J13" t="e">
        <f>VLOOKUP(J12,D12:E50,2,FALSE)</f>
        <v>#N/A</v>
      </c>
    </row>
    <row r="14" spans="1:13" ht="15.75" x14ac:dyDescent="0.25">
      <c r="A14" s="24" t="s">
        <v>74</v>
      </c>
      <c r="B14" s="24">
        <v>63</v>
      </c>
      <c r="C14" s="24">
        <v>8</v>
      </c>
      <c r="D14" t="s">
        <v>93</v>
      </c>
      <c r="E14" s="24">
        <v>8</v>
      </c>
    </row>
    <row r="15" spans="1:13" ht="15.75" x14ac:dyDescent="0.25">
      <c r="A15" s="24" t="s">
        <v>74</v>
      </c>
      <c r="B15" s="24">
        <v>70</v>
      </c>
      <c r="C15" s="24">
        <v>10</v>
      </c>
      <c r="D15" t="s">
        <v>94</v>
      </c>
      <c r="E15" s="24">
        <v>10</v>
      </c>
      <c r="I15" t="s">
        <v>8</v>
      </c>
    </row>
    <row r="16" spans="1:13" ht="15.75" x14ac:dyDescent="0.25">
      <c r="A16" s="24" t="s">
        <v>66</v>
      </c>
      <c r="B16" s="24">
        <v>40</v>
      </c>
      <c r="C16" s="24">
        <v>10</v>
      </c>
      <c r="D16" t="s">
        <v>95</v>
      </c>
      <c r="E16" s="24">
        <v>10</v>
      </c>
      <c r="I16" t="s">
        <v>7</v>
      </c>
    </row>
    <row r="17" spans="1:10" ht="15.75" x14ac:dyDescent="0.25">
      <c r="A17" s="24" t="s">
        <v>66</v>
      </c>
      <c r="B17" s="24">
        <v>50</v>
      </c>
      <c r="C17" s="24">
        <v>12</v>
      </c>
      <c r="D17" t="s">
        <v>96</v>
      </c>
      <c r="E17" s="24">
        <v>12</v>
      </c>
      <c r="I17" t="s">
        <v>70</v>
      </c>
      <c r="J17" t="str">
        <f>CONCATENATE(Formulário!AB47,Formulário!AH47)</f>
        <v/>
      </c>
    </row>
    <row r="18" spans="1:10" ht="15.75" x14ac:dyDescent="0.25">
      <c r="A18" s="24" t="s">
        <v>66</v>
      </c>
      <c r="B18" s="24">
        <v>60</v>
      </c>
      <c r="C18" s="24">
        <v>15</v>
      </c>
      <c r="D18" t="s">
        <v>97</v>
      </c>
      <c r="E18" s="24">
        <v>15</v>
      </c>
      <c r="I18" t="s">
        <v>355</v>
      </c>
      <c r="J18" t="e">
        <f>VLOOKUP(J17,D12:E50,2,FALSE)</f>
        <v>#N/A</v>
      </c>
    </row>
    <row r="19" spans="1:10" ht="15.75" x14ac:dyDescent="0.25">
      <c r="A19" s="24" t="s">
        <v>66</v>
      </c>
      <c r="B19" s="24">
        <v>63</v>
      </c>
      <c r="C19" s="24">
        <v>15.1</v>
      </c>
      <c r="D19" t="s">
        <v>98</v>
      </c>
      <c r="E19" s="24">
        <v>15.1</v>
      </c>
    </row>
    <row r="20" spans="1:10" ht="15.75" x14ac:dyDescent="0.25">
      <c r="A20" s="24" t="s">
        <v>66</v>
      </c>
      <c r="B20" s="24">
        <v>70</v>
      </c>
      <c r="C20" s="24">
        <v>16.8</v>
      </c>
      <c r="D20" t="s">
        <v>99</v>
      </c>
      <c r="E20" s="24">
        <v>16.8</v>
      </c>
    </row>
    <row r="21" spans="1:10" ht="15.75" x14ac:dyDescent="0.25">
      <c r="A21" s="24" t="s">
        <v>66</v>
      </c>
      <c r="B21" s="24">
        <v>80</v>
      </c>
      <c r="C21" s="24">
        <v>20</v>
      </c>
      <c r="D21" t="s">
        <v>100</v>
      </c>
      <c r="E21" s="24">
        <v>20</v>
      </c>
    </row>
    <row r="22" spans="1:10" ht="15.75" x14ac:dyDescent="0.25">
      <c r="A22" s="24" t="s">
        <v>66</v>
      </c>
      <c r="B22" s="25">
        <v>90</v>
      </c>
      <c r="C22" s="24">
        <v>20</v>
      </c>
      <c r="D22" t="s">
        <v>101</v>
      </c>
      <c r="E22" s="24">
        <v>20</v>
      </c>
    </row>
    <row r="23" spans="1:10" ht="15.75" x14ac:dyDescent="0.25">
      <c r="A23" s="24" t="s">
        <v>66</v>
      </c>
      <c r="B23" s="25">
        <v>100</v>
      </c>
      <c r="C23" s="24">
        <v>24</v>
      </c>
      <c r="D23" t="s">
        <v>102</v>
      </c>
      <c r="E23" s="24">
        <v>24</v>
      </c>
    </row>
    <row r="24" spans="1:10" ht="15.75" x14ac:dyDescent="0.25">
      <c r="A24" s="24" t="s">
        <v>66</v>
      </c>
      <c r="B24" s="25">
        <v>120</v>
      </c>
      <c r="C24" s="24">
        <v>30</v>
      </c>
      <c r="D24" t="s">
        <v>103</v>
      </c>
      <c r="E24" s="24">
        <v>30</v>
      </c>
    </row>
    <row r="25" spans="1:10" ht="15.75" x14ac:dyDescent="0.25">
      <c r="A25" s="24" t="s">
        <v>66</v>
      </c>
      <c r="B25" s="25">
        <v>125</v>
      </c>
      <c r="C25" s="24">
        <v>30</v>
      </c>
      <c r="D25" t="s">
        <v>104</v>
      </c>
      <c r="E25" s="24">
        <v>30</v>
      </c>
    </row>
    <row r="26" spans="1:10" ht="15.75" x14ac:dyDescent="0.25">
      <c r="A26" s="24" t="s">
        <v>66</v>
      </c>
      <c r="B26" s="25">
        <v>150</v>
      </c>
      <c r="C26" s="24">
        <v>36</v>
      </c>
      <c r="D26" t="s">
        <v>105</v>
      </c>
      <c r="E26" s="24">
        <v>36</v>
      </c>
    </row>
    <row r="27" spans="1:10" ht="15.75" x14ac:dyDescent="0.25">
      <c r="A27" s="24" t="s">
        <v>66</v>
      </c>
      <c r="B27" s="24">
        <v>200</v>
      </c>
      <c r="C27" s="24">
        <v>50</v>
      </c>
      <c r="D27" t="s">
        <v>106</v>
      </c>
      <c r="E27" s="24">
        <v>50</v>
      </c>
    </row>
    <row r="28" spans="1:10" ht="15.75" x14ac:dyDescent="0.25">
      <c r="A28" s="24" t="s">
        <v>67</v>
      </c>
      <c r="B28" s="24">
        <v>40</v>
      </c>
      <c r="C28" s="24">
        <v>15</v>
      </c>
      <c r="D28" t="s">
        <v>107</v>
      </c>
      <c r="E28" s="24">
        <v>15</v>
      </c>
    </row>
    <row r="29" spans="1:10" ht="15.75" x14ac:dyDescent="0.25">
      <c r="A29" s="24" t="s">
        <v>67</v>
      </c>
      <c r="B29" s="24">
        <v>60</v>
      </c>
      <c r="C29" s="24">
        <v>23</v>
      </c>
      <c r="D29" t="s">
        <v>108</v>
      </c>
      <c r="E29" s="24">
        <v>23</v>
      </c>
    </row>
    <row r="30" spans="1:10" ht="15.75" x14ac:dyDescent="0.25">
      <c r="A30" s="24" t="s">
        <v>67</v>
      </c>
      <c r="B30" s="24">
        <v>63</v>
      </c>
      <c r="C30" s="24">
        <v>24</v>
      </c>
      <c r="D30" t="s">
        <v>109</v>
      </c>
      <c r="E30" s="24">
        <v>24</v>
      </c>
    </row>
    <row r="31" spans="1:10" ht="15.75" x14ac:dyDescent="0.25">
      <c r="A31" s="24" t="s">
        <v>67</v>
      </c>
      <c r="B31" s="24">
        <v>70</v>
      </c>
      <c r="C31" s="24">
        <v>27</v>
      </c>
      <c r="D31" t="s">
        <v>110</v>
      </c>
      <c r="E31" s="24">
        <v>27</v>
      </c>
    </row>
    <row r="32" spans="1:10" ht="15.75" x14ac:dyDescent="0.25">
      <c r="A32" s="24" t="s">
        <v>67</v>
      </c>
      <c r="B32" s="24">
        <v>80</v>
      </c>
      <c r="C32" s="24">
        <v>30.5</v>
      </c>
      <c r="D32" t="s">
        <v>111</v>
      </c>
      <c r="E32" s="24">
        <v>30.5</v>
      </c>
    </row>
    <row r="33" spans="1:5" ht="15.75" x14ac:dyDescent="0.25">
      <c r="A33" s="24" t="s">
        <v>67</v>
      </c>
      <c r="B33" s="24">
        <v>100</v>
      </c>
      <c r="C33" s="24">
        <v>38.1</v>
      </c>
      <c r="D33" t="s">
        <v>112</v>
      </c>
      <c r="E33" s="24">
        <v>38.1</v>
      </c>
    </row>
    <row r="34" spans="1:5" ht="15.75" x14ac:dyDescent="0.25">
      <c r="A34" s="24" t="s">
        <v>67</v>
      </c>
      <c r="B34" s="24">
        <v>120</v>
      </c>
      <c r="C34" s="24">
        <v>47</v>
      </c>
      <c r="D34" t="s">
        <v>113</v>
      </c>
      <c r="E34" s="24">
        <v>47</v>
      </c>
    </row>
    <row r="35" spans="1:5" ht="15.75" x14ac:dyDescent="0.25">
      <c r="A35" s="24" t="s">
        <v>67</v>
      </c>
      <c r="B35" s="24">
        <v>125</v>
      </c>
      <c r="C35" s="24">
        <v>47.6</v>
      </c>
      <c r="D35" t="s">
        <v>114</v>
      </c>
      <c r="E35" s="24">
        <v>47.6</v>
      </c>
    </row>
    <row r="36" spans="1:5" ht="15.75" x14ac:dyDescent="0.25">
      <c r="A36" s="24" t="s">
        <v>67</v>
      </c>
      <c r="B36" s="24">
        <v>150</v>
      </c>
      <c r="C36" s="24">
        <v>57.1</v>
      </c>
      <c r="D36" t="s">
        <v>115</v>
      </c>
      <c r="E36" s="24">
        <v>57.1</v>
      </c>
    </row>
    <row r="37" spans="1:5" ht="15.75" x14ac:dyDescent="0.25">
      <c r="A37" s="24" t="s">
        <v>67</v>
      </c>
      <c r="B37" s="24">
        <v>175</v>
      </c>
      <c r="C37" s="24">
        <v>66</v>
      </c>
      <c r="D37" t="s">
        <v>116</v>
      </c>
      <c r="E37" s="24">
        <v>66</v>
      </c>
    </row>
    <row r="38" spans="1:5" ht="15.75" x14ac:dyDescent="0.25">
      <c r="A38" s="24" t="s">
        <v>67</v>
      </c>
      <c r="B38" s="24">
        <v>200</v>
      </c>
      <c r="C38" s="24">
        <v>75</v>
      </c>
      <c r="D38" t="s">
        <v>117</v>
      </c>
      <c r="E38" s="24">
        <v>75</v>
      </c>
    </row>
    <row r="39" spans="1:5" ht="15.75" x14ac:dyDescent="0.25">
      <c r="A39" s="24" t="s">
        <v>67</v>
      </c>
      <c r="B39" s="24">
        <v>225</v>
      </c>
      <c r="C39" s="24">
        <v>86</v>
      </c>
      <c r="D39" t="s">
        <v>118</v>
      </c>
      <c r="E39" s="24">
        <v>86</v>
      </c>
    </row>
    <row r="40" spans="1:5" ht="15.75" x14ac:dyDescent="0.25">
      <c r="A40" s="24" t="s">
        <v>67</v>
      </c>
      <c r="B40" s="24">
        <v>250</v>
      </c>
      <c r="C40" s="24">
        <v>95</v>
      </c>
      <c r="D40" t="s">
        <v>119</v>
      </c>
      <c r="E40" s="24">
        <v>95</v>
      </c>
    </row>
    <row r="41" spans="1:5" ht="15.75" x14ac:dyDescent="0.25">
      <c r="A41" s="24" t="s">
        <v>67</v>
      </c>
      <c r="B41" s="24">
        <v>300</v>
      </c>
      <c r="C41" s="24">
        <v>114</v>
      </c>
      <c r="D41" t="s">
        <v>120</v>
      </c>
      <c r="E41" s="24">
        <v>114</v>
      </c>
    </row>
    <row r="42" spans="1:5" ht="15.75" x14ac:dyDescent="0.25">
      <c r="A42" s="24" t="s">
        <v>67</v>
      </c>
      <c r="B42" s="24">
        <v>315</v>
      </c>
      <c r="C42" s="24">
        <v>114</v>
      </c>
      <c r="D42" t="s">
        <v>121</v>
      </c>
      <c r="E42" s="24">
        <v>114</v>
      </c>
    </row>
    <row r="43" spans="1:5" ht="15.75" x14ac:dyDescent="0.25">
      <c r="A43" s="24" t="s">
        <v>67</v>
      </c>
      <c r="B43" s="24">
        <v>320</v>
      </c>
      <c r="C43" s="24">
        <v>114</v>
      </c>
      <c r="D43" t="s">
        <v>122</v>
      </c>
      <c r="E43" s="24">
        <v>114</v>
      </c>
    </row>
    <row r="44" spans="1:5" ht="15.75" x14ac:dyDescent="0.25">
      <c r="A44" s="24" t="s">
        <v>67</v>
      </c>
      <c r="B44" s="24">
        <v>400</v>
      </c>
      <c r="C44" s="24">
        <v>152</v>
      </c>
      <c r="D44" t="s">
        <v>123</v>
      </c>
      <c r="E44" s="24">
        <v>152</v>
      </c>
    </row>
    <row r="45" spans="1:5" ht="15.75" x14ac:dyDescent="0.25">
      <c r="A45" s="24" t="s">
        <v>67</v>
      </c>
      <c r="B45" s="24">
        <v>450</v>
      </c>
      <c r="C45" s="24">
        <v>171</v>
      </c>
      <c r="D45" t="s">
        <v>124</v>
      </c>
      <c r="E45" s="24">
        <v>171</v>
      </c>
    </row>
    <row r="46" spans="1:5" ht="15.75" x14ac:dyDescent="0.25">
      <c r="A46" s="24" t="s">
        <v>67</v>
      </c>
      <c r="B46" s="24">
        <v>500</v>
      </c>
      <c r="C46" s="24">
        <v>188</v>
      </c>
      <c r="D46" t="s">
        <v>125</v>
      </c>
      <c r="E46" s="24">
        <v>188</v>
      </c>
    </row>
    <row r="47" spans="1:5" ht="15.75" x14ac:dyDescent="0.25">
      <c r="A47" s="24" t="s">
        <v>67</v>
      </c>
      <c r="B47" s="24">
        <v>600</v>
      </c>
      <c r="C47" s="24">
        <v>228</v>
      </c>
      <c r="D47" t="s">
        <v>126</v>
      </c>
      <c r="E47" s="24">
        <v>228</v>
      </c>
    </row>
    <row r="48" spans="1:5" ht="15.75" x14ac:dyDescent="0.25">
      <c r="A48" s="24" t="s">
        <v>67</v>
      </c>
      <c r="B48" s="24">
        <v>630</v>
      </c>
      <c r="C48" s="24">
        <v>228</v>
      </c>
      <c r="D48" t="s">
        <v>127</v>
      </c>
      <c r="E48" s="24">
        <v>228</v>
      </c>
    </row>
    <row r="49" spans="1:5" ht="15.75" x14ac:dyDescent="0.25">
      <c r="A49" s="24" t="s">
        <v>67</v>
      </c>
      <c r="B49" s="24">
        <v>700</v>
      </c>
      <c r="C49" s="24">
        <v>266</v>
      </c>
      <c r="D49" t="s">
        <v>128</v>
      </c>
      <c r="E49" s="24">
        <v>266</v>
      </c>
    </row>
    <row r="50" spans="1:5" ht="15.75" x14ac:dyDescent="0.25">
      <c r="A50" s="24" t="s">
        <v>67</v>
      </c>
      <c r="B50" s="24">
        <v>800</v>
      </c>
      <c r="C50" s="24">
        <v>304</v>
      </c>
      <c r="D50" t="s">
        <v>129</v>
      </c>
      <c r="E50" s="24">
        <v>304</v>
      </c>
    </row>
    <row r="53" spans="1:5" ht="18.75" x14ac:dyDescent="0.3">
      <c r="A53" s="26" t="s">
        <v>243</v>
      </c>
    </row>
    <row r="54" spans="1:5" ht="15.75" x14ac:dyDescent="0.25">
      <c r="A54" s="260" t="s">
        <v>70</v>
      </c>
      <c r="B54" s="260"/>
      <c r="C54" s="261" t="s">
        <v>71</v>
      </c>
    </row>
    <row r="55" spans="1:5" ht="15.75" x14ac:dyDescent="0.25">
      <c r="A55" s="23" t="s">
        <v>72</v>
      </c>
      <c r="B55" s="23" t="s">
        <v>73</v>
      </c>
      <c r="C55" s="261"/>
    </row>
    <row r="56" spans="1:5" ht="15.75" x14ac:dyDescent="0.25">
      <c r="A56" s="24" t="s">
        <v>74</v>
      </c>
      <c r="B56" s="24">
        <v>63</v>
      </c>
      <c r="C56" s="24">
        <v>8</v>
      </c>
      <c r="D56" t="s">
        <v>93</v>
      </c>
      <c r="E56" s="24">
        <v>8</v>
      </c>
    </row>
    <row r="57" spans="1:5" ht="15.75" x14ac:dyDescent="0.25">
      <c r="A57" s="24" t="s">
        <v>66</v>
      </c>
      <c r="B57" s="24">
        <v>63</v>
      </c>
      <c r="C57" s="24">
        <v>15.1</v>
      </c>
      <c r="D57" t="s">
        <v>98</v>
      </c>
      <c r="E57" s="24">
        <v>15.1</v>
      </c>
    </row>
    <row r="58" spans="1:5" ht="15.75" x14ac:dyDescent="0.25">
      <c r="A58" s="24" t="s">
        <v>66</v>
      </c>
      <c r="B58" s="25">
        <v>100</v>
      </c>
      <c r="C58" s="24">
        <v>24</v>
      </c>
      <c r="D58" t="s">
        <v>102</v>
      </c>
      <c r="E58" s="24">
        <v>24</v>
      </c>
    </row>
    <row r="59" spans="1:5" ht="15.75" x14ac:dyDescent="0.25">
      <c r="A59" s="24" t="s">
        <v>66</v>
      </c>
      <c r="B59" s="25">
        <v>125</v>
      </c>
      <c r="C59" s="24">
        <v>30</v>
      </c>
      <c r="D59" t="s">
        <v>104</v>
      </c>
      <c r="E59" s="24">
        <v>30</v>
      </c>
    </row>
    <row r="60" spans="1:5" ht="15.75" x14ac:dyDescent="0.25">
      <c r="A60" s="24" t="s">
        <v>66</v>
      </c>
      <c r="B60" s="25">
        <v>150</v>
      </c>
      <c r="C60" s="24">
        <v>36</v>
      </c>
      <c r="D60" t="s">
        <v>105</v>
      </c>
      <c r="E60" s="24">
        <v>36</v>
      </c>
    </row>
    <row r="61" spans="1:5" ht="15.75" x14ac:dyDescent="0.25">
      <c r="A61" s="24" t="s">
        <v>66</v>
      </c>
      <c r="B61" s="24">
        <v>200</v>
      </c>
      <c r="C61" s="24">
        <v>50</v>
      </c>
      <c r="D61" t="s">
        <v>106</v>
      </c>
      <c r="E61" s="24">
        <v>50</v>
      </c>
    </row>
    <row r="62" spans="1:5" ht="15.75" x14ac:dyDescent="0.25">
      <c r="A62" s="24" t="s">
        <v>67</v>
      </c>
      <c r="B62" s="24">
        <v>63</v>
      </c>
      <c r="C62" s="24">
        <v>24</v>
      </c>
      <c r="D62" t="s">
        <v>109</v>
      </c>
      <c r="E62" s="24">
        <v>24</v>
      </c>
    </row>
    <row r="63" spans="1:5" ht="15.75" x14ac:dyDescent="0.25">
      <c r="A63" s="24" t="s">
        <v>67</v>
      </c>
      <c r="B63" s="24">
        <v>80</v>
      </c>
      <c r="C63" s="24">
        <v>30.5</v>
      </c>
      <c r="D63" t="s">
        <v>111</v>
      </c>
      <c r="E63" s="24">
        <v>30.5</v>
      </c>
    </row>
    <row r="64" spans="1:5" ht="15.75" x14ac:dyDescent="0.25">
      <c r="A64" s="24" t="s">
        <v>67</v>
      </c>
      <c r="B64" s="24">
        <v>100</v>
      </c>
      <c r="C64" s="24">
        <v>38.1</v>
      </c>
      <c r="D64" t="s">
        <v>112</v>
      </c>
      <c r="E64" s="24">
        <v>38.1</v>
      </c>
    </row>
    <row r="65" spans="1:5" ht="15.75" x14ac:dyDescent="0.25">
      <c r="A65" s="24" t="s">
        <v>67</v>
      </c>
      <c r="B65" s="24">
        <v>125</v>
      </c>
      <c r="C65" s="24">
        <v>47.6</v>
      </c>
      <c r="D65" t="s">
        <v>114</v>
      </c>
      <c r="E65" s="24">
        <v>47.6</v>
      </c>
    </row>
    <row r="66" spans="1:5" ht="15.75" x14ac:dyDescent="0.25">
      <c r="A66" s="24" t="s">
        <v>67</v>
      </c>
      <c r="B66" s="24">
        <v>150</v>
      </c>
      <c r="C66" s="24">
        <v>57.1</v>
      </c>
      <c r="D66" t="s">
        <v>115</v>
      </c>
      <c r="E66" s="24">
        <v>57.1</v>
      </c>
    </row>
    <row r="67" spans="1:5" ht="15.75" x14ac:dyDescent="0.25">
      <c r="A67" s="24" t="s">
        <v>67</v>
      </c>
      <c r="B67" s="24">
        <v>200</v>
      </c>
      <c r="C67" s="24">
        <v>75</v>
      </c>
      <c r="D67" t="s">
        <v>117</v>
      </c>
      <c r="E67" s="24">
        <v>75</v>
      </c>
    </row>
    <row r="68" spans="1:5" ht="15.75" x14ac:dyDescent="0.25">
      <c r="A68" s="24" t="s">
        <v>67</v>
      </c>
      <c r="B68" s="24">
        <v>225</v>
      </c>
      <c r="C68" s="24">
        <v>86</v>
      </c>
      <c r="D68" t="s">
        <v>118</v>
      </c>
      <c r="E68" s="24">
        <v>86</v>
      </c>
    </row>
    <row r="69" spans="1:5" ht="15.75" x14ac:dyDescent="0.25">
      <c r="A69" s="24" t="s">
        <v>67</v>
      </c>
      <c r="B69" s="24">
        <v>250</v>
      </c>
      <c r="C69" s="24">
        <v>95</v>
      </c>
      <c r="D69" t="s">
        <v>119</v>
      </c>
      <c r="E69" s="24">
        <v>95</v>
      </c>
    </row>
    <row r="70" spans="1:5" ht="15.75" x14ac:dyDescent="0.25">
      <c r="A70" s="24" t="s">
        <v>67</v>
      </c>
      <c r="B70" s="24">
        <v>300</v>
      </c>
      <c r="C70" s="24">
        <v>114</v>
      </c>
      <c r="D70" t="s">
        <v>120</v>
      </c>
      <c r="E70" s="24">
        <v>114</v>
      </c>
    </row>
    <row r="71" spans="1:5" ht="15.75" x14ac:dyDescent="0.25">
      <c r="A71" s="24" t="s">
        <v>67</v>
      </c>
      <c r="B71" s="24">
        <v>315</v>
      </c>
      <c r="C71" s="24">
        <v>114</v>
      </c>
      <c r="D71" t="s">
        <v>121</v>
      </c>
      <c r="E71" s="24">
        <v>114</v>
      </c>
    </row>
    <row r="72" spans="1:5" ht="15.75" x14ac:dyDescent="0.25">
      <c r="A72" s="24" t="s">
        <v>67</v>
      </c>
      <c r="B72" s="24">
        <v>320</v>
      </c>
      <c r="C72" s="24">
        <v>114</v>
      </c>
      <c r="D72" t="s">
        <v>122</v>
      </c>
      <c r="E72" s="24">
        <v>114</v>
      </c>
    </row>
    <row r="73" spans="1:5" ht="15.75" x14ac:dyDescent="0.25">
      <c r="A73" s="24" t="s">
        <v>67</v>
      </c>
      <c r="B73" s="24">
        <v>400</v>
      </c>
      <c r="C73" s="24">
        <v>152</v>
      </c>
      <c r="D73" t="s">
        <v>123</v>
      </c>
      <c r="E73" s="24">
        <v>152</v>
      </c>
    </row>
    <row r="74" spans="1:5" ht="15.75" x14ac:dyDescent="0.25">
      <c r="A74" s="24" t="s">
        <v>67</v>
      </c>
      <c r="B74" s="24">
        <v>450</v>
      </c>
      <c r="C74" s="24">
        <v>171</v>
      </c>
      <c r="D74" t="s">
        <v>124</v>
      </c>
      <c r="E74" s="24">
        <v>171</v>
      </c>
    </row>
    <row r="75" spans="1:5" ht="15.75" x14ac:dyDescent="0.25">
      <c r="A75" s="24" t="s">
        <v>67</v>
      </c>
      <c r="B75" s="24">
        <v>500</v>
      </c>
      <c r="C75" s="24">
        <v>188</v>
      </c>
      <c r="D75" t="s">
        <v>125</v>
      </c>
      <c r="E75" s="24">
        <v>188</v>
      </c>
    </row>
    <row r="76" spans="1:5" ht="15.75" x14ac:dyDescent="0.25">
      <c r="A76" s="24" t="s">
        <v>67</v>
      </c>
      <c r="B76" s="24">
        <v>600</v>
      </c>
      <c r="C76" s="24">
        <v>228</v>
      </c>
      <c r="D76" t="s">
        <v>126</v>
      </c>
      <c r="E76" s="24">
        <v>228</v>
      </c>
    </row>
    <row r="77" spans="1:5" ht="15.75" x14ac:dyDescent="0.25">
      <c r="A77" s="24" t="s">
        <v>67</v>
      </c>
      <c r="B77" s="24">
        <v>630</v>
      </c>
      <c r="C77" s="24">
        <v>228</v>
      </c>
      <c r="D77" t="s">
        <v>127</v>
      </c>
      <c r="E77" s="24">
        <v>228</v>
      </c>
    </row>
    <row r="78" spans="1:5" ht="15.75" x14ac:dyDescent="0.25">
      <c r="A78" s="24" t="s">
        <v>67</v>
      </c>
      <c r="B78" s="24">
        <v>700</v>
      </c>
      <c r="C78" s="24">
        <v>266</v>
      </c>
      <c r="D78" t="s">
        <v>128</v>
      </c>
      <c r="E78" s="24">
        <v>266</v>
      </c>
    </row>
    <row r="79" spans="1:5" ht="15.75" x14ac:dyDescent="0.25">
      <c r="A79" s="24" t="s">
        <v>67</v>
      </c>
      <c r="B79" s="24">
        <v>800</v>
      </c>
      <c r="C79" s="24">
        <v>304</v>
      </c>
      <c r="D79" t="s">
        <v>129</v>
      </c>
      <c r="E79" s="24">
        <v>304</v>
      </c>
    </row>
    <row r="83" spans="1:2" ht="18.75" x14ac:dyDescent="0.3">
      <c r="A83" s="262" t="s">
        <v>214</v>
      </c>
      <c r="B83" s="262"/>
    </row>
    <row r="84" spans="1:2" ht="15.75" x14ac:dyDescent="0.25">
      <c r="A84" s="260" t="s">
        <v>70</v>
      </c>
      <c r="B84" s="260"/>
    </row>
    <row r="85" spans="1:2" ht="15.75" x14ac:dyDescent="0.25">
      <c r="A85" s="23" t="s">
        <v>72</v>
      </c>
      <c r="B85" s="23" t="s">
        <v>73</v>
      </c>
    </row>
    <row r="86" spans="1:2" ht="15.75" x14ac:dyDescent="0.25">
      <c r="A86" s="57" t="s">
        <v>66</v>
      </c>
      <c r="B86" s="57">
        <v>60</v>
      </c>
    </row>
    <row r="87" spans="1:2" ht="15.75" x14ac:dyDescent="0.25">
      <c r="A87" s="57" t="s">
        <v>66</v>
      </c>
      <c r="B87" s="57">
        <v>63</v>
      </c>
    </row>
    <row r="88" spans="1:2" ht="15.75" x14ac:dyDescent="0.25">
      <c r="A88" s="57" t="s">
        <v>66</v>
      </c>
      <c r="B88" s="57">
        <v>90</v>
      </c>
    </row>
    <row r="89" spans="1:2" ht="15.75" x14ac:dyDescent="0.25">
      <c r="A89" s="57" t="s">
        <v>66</v>
      </c>
      <c r="B89" s="57">
        <v>100</v>
      </c>
    </row>
    <row r="90" spans="1:2" ht="15.75" x14ac:dyDescent="0.25">
      <c r="A90" s="57" t="s">
        <v>66</v>
      </c>
      <c r="B90" s="58">
        <v>120</v>
      </c>
    </row>
    <row r="91" spans="1:2" ht="15.75" x14ac:dyDescent="0.25">
      <c r="A91" s="57" t="s">
        <v>66</v>
      </c>
      <c r="B91" s="58">
        <v>125</v>
      </c>
    </row>
    <row r="92" spans="1:2" ht="15.75" x14ac:dyDescent="0.25">
      <c r="A92" s="57" t="s">
        <v>66</v>
      </c>
      <c r="B92" s="58">
        <v>150</v>
      </c>
    </row>
    <row r="93" spans="1:2" ht="15.75" x14ac:dyDescent="0.25">
      <c r="A93" s="57" t="s">
        <v>66</v>
      </c>
      <c r="B93" s="58">
        <v>200</v>
      </c>
    </row>
    <row r="94" spans="1:2" ht="15.75" x14ac:dyDescent="0.25">
      <c r="A94" s="24" t="s">
        <v>67</v>
      </c>
      <c r="B94" s="24">
        <v>60</v>
      </c>
    </row>
    <row r="95" spans="1:2" ht="15.75" x14ac:dyDescent="0.25">
      <c r="A95" s="24" t="s">
        <v>67</v>
      </c>
      <c r="B95" s="24">
        <v>63</v>
      </c>
    </row>
    <row r="96" spans="1:2" ht="15.75" x14ac:dyDescent="0.25">
      <c r="A96" s="24" t="s">
        <v>67</v>
      </c>
      <c r="B96" s="24">
        <v>70</v>
      </c>
    </row>
    <row r="97" spans="1:2" ht="15.75" x14ac:dyDescent="0.25">
      <c r="A97" s="24" t="s">
        <v>67</v>
      </c>
      <c r="B97" s="24">
        <v>80</v>
      </c>
    </row>
    <row r="98" spans="1:2" ht="15.75" x14ac:dyDescent="0.25">
      <c r="A98" s="24" t="s">
        <v>67</v>
      </c>
      <c r="B98" s="24">
        <v>100</v>
      </c>
    </row>
    <row r="99" spans="1:2" ht="15.75" x14ac:dyDescent="0.25">
      <c r="A99" s="24" t="s">
        <v>67</v>
      </c>
      <c r="B99" s="24">
        <v>120</v>
      </c>
    </row>
    <row r="100" spans="1:2" ht="15.75" x14ac:dyDescent="0.25">
      <c r="A100" s="24" t="s">
        <v>67</v>
      </c>
      <c r="B100" s="24">
        <v>125</v>
      </c>
    </row>
    <row r="101" spans="1:2" ht="15.75" x14ac:dyDescent="0.25">
      <c r="A101" s="24" t="s">
        <v>67</v>
      </c>
      <c r="B101" s="24">
        <v>150</v>
      </c>
    </row>
    <row r="102" spans="1:2" ht="15.75" x14ac:dyDescent="0.25">
      <c r="A102" s="24" t="s">
        <v>67</v>
      </c>
      <c r="B102" s="24">
        <v>175</v>
      </c>
    </row>
    <row r="103" spans="1:2" ht="15.75" x14ac:dyDescent="0.25">
      <c r="A103" s="24" t="s">
        <v>67</v>
      </c>
      <c r="B103" s="24">
        <v>200</v>
      </c>
    </row>
    <row r="104" spans="1:2" ht="15.75" x14ac:dyDescent="0.25">
      <c r="A104" s="24" t="s">
        <v>67</v>
      </c>
      <c r="B104" s="24">
        <v>225</v>
      </c>
    </row>
    <row r="105" spans="1:2" ht="15.75" x14ac:dyDescent="0.25">
      <c r="A105" s="24" t="s">
        <v>67</v>
      </c>
      <c r="B105" s="24">
        <v>250</v>
      </c>
    </row>
    <row r="106" spans="1:2" ht="15.75" x14ac:dyDescent="0.25">
      <c r="A106" s="24" t="s">
        <v>67</v>
      </c>
      <c r="B106" s="24">
        <v>300</v>
      </c>
    </row>
    <row r="107" spans="1:2" ht="15.75" x14ac:dyDescent="0.25">
      <c r="A107" s="24" t="s">
        <v>67</v>
      </c>
      <c r="B107" s="24">
        <v>315</v>
      </c>
    </row>
    <row r="108" spans="1:2" ht="15.75" x14ac:dyDescent="0.25">
      <c r="A108" s="24" t="s">
        <v>67</v>
      </c>
      <c r="B108" s="24">
        <v>320</v>
      </c>
    </row>
    <row r="109" spans="1:2" ht="15.75" x14ac:dyDescent="0.25">
      <c r="A109" s="24" t="s">
        <v>67</v>
      </c>
      <c r="B109" s="24">
        <v>400</v>
      </c>
    </row>
    <row r="110" spans="1:2" ht="15.75" x14ac:dyDescent="0.25">
      <c r="A110" s="24" t="s">
        <v>67</v>
      </c>
      <c r="B110" s="24">
        <v>450</v>
      </c>
    </row>
    <row r="111" spans="1:2" ht="15.75" x14ac:dyDescent="0.25">
      <c r="A111" s="24" t="s">
        <v>67</v>
      </c>
      <c r="B111" s="24">
        <v>500</v>
      </c>
    </row>
    <row r="112" spans="1:2" ht="15.75" x14ac:dyDescent="0.25">
      <c r="A112" s="24" t="s">
        <v>67</v>
      </c>
      <c r="B112" s="24">
        <v>600</v>
      </c>
    </row>
    <row r="113" spans="1:2" ht="15.75" x14ac:dyDescent="0.25">
      <c r="A113" s="24" t="s">
        <v>67</v>
      </c>
      <c r="B113" s="24">
        <v>630</v>
      </c>
    </row>
    <row r="114" spans="1:2" ht="15.75" x14ac:dyDescent="0.25">
      <c r="A114" s="24" t="s">
        <v>67</v>
      </c>
      <c r="B114" s="24">
        <v>700</v>
      </c>
    </row>
    <row r="115" spans="1:2" ht="15.75" x14ac:dyDescent="0.25">
      <c r="A115" s="24" t="s">
        <v>67</v>
      </c>
      <c r="B115" s="24">
        <v>800</v>
      </c>
    </row>
    <row r="116" spans="1:2" ht="15.75" x14ac:dyDescent="0.25">
      <c r="A116" s="24" t="s">
        <v>67</v>
      </c>
      <c r="B116" s="24">
        <v>1000</v>
      </c>
    </row>
    <row r="117" spans="1:2" ht="15.75" x14ac:dyDescent="0.25">
      <c r="A117" s="24" t="s">
        <v>67</v>
      </c>
      <c r="B117" s="24">
        <v>1200</v>
      </c>
    </row>
    <row r="118" spans="1:2" ht="15.75" x14ac:dyDescent="0.25">
      <c r="A118" s="24" t="s">
        <v>67</v>
      </c>
      <c r="B118" s="24">
        <v>1500</v>
      </c>
    </row>
    <row r="119" spans="1:2" ht="15.75" x14ac:dyDescent="0.25">
      <c r="A119" s="24" t="s">
        <v>67</v>
      </c>
      <c r="B119" s="24">
        <v>1800</v>
      </c>
    </row>
    <row r="120" spans="1:2" ht="15.75" x14ac:dyDescent="0.25">
      <c r="A120" s="24" t="s">
        <v>67</v>
      </c>
      <c r="B120" s="24">
        <v>2100</v>
      </c>
    </row>
    <row r="124" spans="1:2" x14ac:dyDescent="0.25">
      <c r="A124" t="s">
        <v>231</v>
      </c>
    </row>
    <row r="126" spans="1:2" ht="15.75" x14ac:dyDescent="0.25">
      <c r="A126" s="24" t="s">
        <v>72</v>
      </c>
      <c r="B126" s="24" t="s">
        <v>73</v>
      </c>
    </row>
    <row r="127" spans="1:2" ht="15.75" x14ac:dyDescent="0.25">
      <c r="A127" s="24" t="s">
        <v>67</v>
      </c>
      <c r="B127" s="24">
        <v>100</v>
      </c>
    </row>
    <row r="128" spans="1:2" ht="15.75" x14ac:dyDescent="0.25">
      <c r="A128" s="24" t="s">
        <v>67</v>
      </c>
      <c r="B128" s="24">
        <v>120</v>
      </c>
    </row>
    <row r="129" spans="1:2" ht="15.75" x14ac:dyDescent="0.25">
      <c r="A129" s="24" t="s">
        <v>67</v>
      </c>
      <c r="B129" s="24">
        <v>125</v>
      </c>
    </row>
    <row r="130" spans="1:2" ht="15.75" x14ac:dyDescent="0.25">
      <c r="A130" s="24" t="s">
        <v>67</v>
      </c>
      <c r="B130" s="24">
        <v>150</v>
      </c>
    </row>
    <row r="131" spans="1:2" ht="15.75" x14ac:dyDescent="0.25">
      <c r="A131" s="24" t="s">
        <v>67</v>
      </c>
      <c r="B131" s="24">
        <v>175</v>
      </c>
    </row>
    <row r="132" spans="1:2" ht="15.75" x14ac:dyDescent="0.25">
      <c r="A132" s="24" t="s">
        <v>67</v>
      </c>
      <c r="B132" s="24">
        <v>200</v>
      </c>
    </row>
    <row r="133" spans="1:2" ht="15.75" x14ac:dyDescent="0.25">
      <c r="A133" s="24" t="s">
        <v>67</v>
      </c>
      <c r="B133" s="24">
        <v>250</v>
      </c>
    </row>
    <row r="134" spans="1:2" ht="15.75" x14ac:dyDescent="0.25">
      <c r="A134" s="24" t="s">
        <v>67</v>
      </c>
      <c r="B134" s="24">
        <v>300</v>
      </c>
    </row>
    <row r="135" spans="1:2" ht="15.75" x14ac:dyDescent="0.25">
      <c r="A135" s="24" t="s">
        <v>67</v>
      </c>
      <c r="B135" s="24">
        <v>315</v>
      </c>
    </row>
    <row r="136" spans="1:2" ht="15.75" x14ac:dyDescent="0.25">
      <c r="A136" s="24" t="s">
        <v>67</v>
      </c>
      <c r="B136" s="24">
        <v>320</v>
      </c>
    </row>
    <row r="137" spans="1:2" ht="15.75" x14ac:dyDescent="0.25">
      <c r="A137" s="24" t="s">
        <v>67</v>
      </c>
      <c r="B137" s="24">
        <v>350</v>
      </c>
    </row>
    <row r="138" spans="1:2" ht="15.75" x14ac:dyDescent="0.25">
      <c r="A138" s="24" t="s">
        <v>67</v>
      </c>
      <c r="B138" s="24">
        <v>400</v>
      </c>
    </row>
    <row r="139" spans="1:2" ht="15.75" x14ac:dyDescent="0.25">
      <c r="A139" s="24" t="s">
        <v>67</v>
      </c>
      <c r="B139" s="24">
        <v>500</v>
      </c>
    </row>
    <row r="140" spans="1:2" ht="15.75" x14ac:dyDescent="0.25">
      <c r="A140" s="24" t="s">
        <v>67</v>
      </c>
      <c r="B140" s="24">
        <v>600</v>
      </c>
    </row>
    <row r="141" spans="1:2" ht="15.75" x14ac:dyDescent="0.25">
      <c r="A141" s="24" t="s">
        <v>67</v>
      </c>
      <c r="B141" s="24">
        <v>630</v>
      </c>
    </row>
    <row r="142" spans="1:2" ht="15.75" x14ac:dyDescent="0.25">
      <c r="A142" s="24" t="s">
        <v>67</v>
      </c>
      <c r="B142" s="24">
        <v>800</v>
      </c>
    </row>
    <row r="145" spans="1:2" ht="15.75" x14ac:dyDescent="0.25">
      <c r="A145" s="99" t="s">
        <v>388</v>
      </c>
      <c r="B145" t="str">
        <f>IF(AND(B147&gt;B146,Formulário!AL12=Dados!V5,B147&lt;&gt;0),"Sim","Não")</f>
        <v>Não</v>
      </c>
    </row>
    <row r="146" spans="1:2" ht="15.75" x14ac:dyDescent="0.25">
      <c r="A146" s="99" t="s">
        <v>389</v>
      </c>
      <c r="B146">
        <v>7.5</v>
      </c>
    </row>
    <row r="147" spans="1:2" ht="15.75" x14ac:dyDescent="0.25">
      <c r="A147" s="99" t="s">
        <v>390</v>
      </c>
      <c r="B147">
        <f>Pot_Ativa_Instalada</f>
        <v>0</v>
      </c>
    </row>
  </sheetData>
  <sheetProtection algorithmName="SHA-512" hashValue="KuxUs425YFQnzpWJ1BCeZILNks54cLgL3HKkpIlXs9Ax5Gn4QRM3GjXB+FasraSeyQht8IK1Ap+DMaN2vQXFxA==" saltValue="JBoR9RtDD9gCiGcUQuPjAQ==" spinCount="100000" sheet="1" objects="1" scenarios="1"/>
  <mergeCells count="6">
    <mergeCell ref="A10:B10"/>
    <mergeCell ref="C10:C11"/>
    <mergeCell ref="A83:B83"/>
    <mergeCell ref="A84:B84"/>
    <mergeCell ref="A54:B54"/>
    <mergeCell ref="C54:C55"/>
  </mergeCells>
  <pageMargins left="0.511811024" right="0.511811024" top="0.78740157499999996" bottom="0.78740157499999996" header="0.31496062000000002" footer="0.31496062000000002"/>
  <pageSetup paperSize="9" orientation="portrait" r:id="rId1"/>
  <headerFooter>
    <oddFooter>&amp;R_x000D_&amp;1#&amp;"Calibri"&amp;10&amp;K000000 Classificação: Público</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4"/>
  <dimension ref="A1:E55"/>
  <sheetViews>
    <sheetView workbookViewId="0">
      <selection activeCell="B5" sqref="B5"/>
    </sheetView>
  </sheetViews>
  <sheetFormatPr defaultRowHeight="15" x14ac:dyDescent="0.25"/>
  <cols>
    <col min="1" max="1" width="116.140625" bestFit="1" customWidth="1"/>
    <col min="2" max="2" width="9.140625" style="19"/>
    <col min="4" max="4" width="9.140625" style="19"/>
  </cols>
  <sheetData>
    <row r="1" spans="1:5" x14ac:dyDescent="0.25">
      <c r="A1" t="s">
        <v>47</v>
      </c>
      <c r="B1" s="43">
        <f>IF(Dados!D7=4,1,COUNTA(Formulário!J12))</f>
        <v>0</v>
      </c>
      <c r="D1" s="63" t="str">
        <f>IF(D4=1,E4,IF(D5=1,E5,IF(D6=1,E6,IF(D7=1,E7,IF(D8=1,E8,IF(D9=1,E9,""))))))</f>
        <v>O campo "Número da Instalação" deve ser preenchido.</v>
      </c>
    </row>
    <row r="2" spans="1:5" x14ac:dyDescent="0.25">
      <c r="A2" t="s">
        <v>49</v>
      </c>
      <c r="B2" s="43">
        <f>COUNTA(Formulário!N16)</f>
        <v>0</v>
      </c>
    </row>
    <row r="3" spans="1:5" x14ac:dyDescent="0.25">
      <c r="A3" t="s">
        <v>36</v>
      </c>
      <c r="B3" s="43">
        <f>COUNTA(Formulário!E18)</f>
        <v>1</v>
      </c>
    </row>
    <row r="4" spans="1:5" x14ac:dyDescent="0.25">
      <c r="A4" t="s">
        <v>37</v>
      </c>
      <c r="B4" s="43">
        <f>IF(Formulário!J12&lt;&gt;"",1,COUNTA(Formulário!K18))</f>
        <v>0</v>
      </c>
      <c r="D4" s="25">
        <f t="shared" ref="D4:D9" si="0">IF(E4&lt;&gt;"",1,0)</f>
        <v>1</v>
      </c>
      <c r="E4" t="str">
        <f>IF(COUNTIF(Conferencia!B:B,"0")&gt;0,"O campo """&amp;INDEX(Conferencia!A:A,MATCH(0,Conferencia!B:B,0))&amp;""" deve ser preenchido.","")</f>
        <v>O campo "Número da Instalação" deve ser preenchido.</v>
      </c>
    </row>
    <row r="5" spans="1:5" x14ac:dyDescent="0.25">
      <c r="A5" t="s">
        <v>38</v>
      </c>
      <c r="B5" s="43">
        <f>COUNTA(Formulário!AC18)</f>
        <v>0</v>
      </c>
      <c r="D5" s="25">
        <f t="shared" si="0"/>
        <v>0</v>
      </c>
      <c r="E5" t="str">
        <f>IF(AND(Dados!D7=4,Formulário!J12&lt;&gt;"")," Em caso de Ligação de Nova Unidade Consumidora não pode ser preenchido o Nº da Instalação","")</f>
        <v/>
      </c>
    </row>
    <row r="6" spans="1:5" x14ac:dyDescent="0.25">
      <c r="A6" t="s">
        <v>39</v>
      </c>
      <c r="B6" s="43">
        <f>COUNTA(Formulário!G20)</f>
        <v>0</v>
      </c>
      <c r="D6" s="25" t="e">
        <f t="shared" si="0"/>
        <v>#N/A</v>
      </c>
      <c r="E6" t="e">
        <f>IF(Pot_Ativa_Instalada&gt;CargaInstalada,"A Potência Ativa Instalada Total da Usina não pode ser maior que a faixa de atendimento do disjuntor existente/solicitado","")</f>
        <v>#N/A</v>
      </c>
    </row>
    <row r="7" spans="1:5" x14ac:dyDescent="0.25">
      <c r="A7" t="s">
        <v>40</v>
      </c>
      <c r="B7" s="43">
        <f>COUNTA(Formulário!AI20)</f>
        <v>0</v>
      </c>
      <c r="D7" s="25">
        <f t="shared" si="0"/>
        <v>0</v>
      </c>
      <c r="E7" t="str">
        <f>IF(D18=0,"O uso da SE Nº1 foi descontinuado das normas Cemig, portanto NÃO é permitida para ligação de novas UC usando esse padrão de construção","")</f>
        <v/>
      </c>
    </row>
    <row r="8" spans="1:5" x14ac:dyDescent="0.25">
      <c r="A8" t="s">
        <v>42</v>
      </c>
      <c r="B8" s="43">
        <f>COUNTA(Formulário!E22)</f>
        <v>0</v>
      </c>
      <c r="D8" s="25">
        <f t="shared" si="0"/>
        <v>0</v>
      </c>
      <c r="E8" t="str">
        <f>IF(Pot_Ativa_Instalada&gt;75,"Este formulário é para as solicitações de MICROGERAÇÃO. Para potência superior a 75 kW utilize o formulário de MINIGERAÇÃO","")</f>
        <v/>
      </c>
    </row>
    <row r="9" spans="1:5" x14ac:dyDescent="0.25">
      <c r="A9" t="s">
        <v>43</v>
      </c>
      <c r="B9" s="43">
        <f>COUNTA(Formulário!T22)</f>
        <v>0</v>
      </c>
      <c r="D9" s="25">
        <f t="shared" si="0"/>
        <v>0</v>
      </c>
      <c r="E9" t="str">
        <f>IF($D$20=1,"O somatório das potências dos transformadores não pode ser menor que a Potência Ativa Instalada Total de Geração da Usina.","")</f>
        <v/>
      </c>
    </row>
    <row r="10" spans="1:5" x14ac:dyDescent="0.25">
      <c r="A10" t="s">
        <v>44</v>
      </c>
      <c r="B10" s="43">
        <f>COUNTA(Formulário!AN22)</f>
        <v>1</v>
      </c>
    </row>
    <row r="11" spans="1:5" x14ac:dyDescent="0.25">
      <c r="A11" t="s">
        <v>45</v>
      </c>
      <c r="B11" s="43">
        <f>COUNTA(Formulário!AS22)</f>
        <v>0</v>
      </c>
    </row>
    <row r="12" spans="1:5" x14ac:dyDescent="0.25">
      <c r="A12" t="s">
        <v>234</v>
      </c>
      <c r="B12" s="43">
        <f>COUNTA(Formulário!O24)</f>
        <v>0</v>
      </c>
    </row>
    <row r="13" spans="1:5" x14ac:dyDescent="0.25">
      <c r="A13" t="s">
        <v>46</v>
      </c>
      <c r="B13" s="43">
        <f>COUNTA(Formulário!Y24)</f>
        <v>0</v>
      </c>
    </row>
    <row r="14" spans="1:5" x14ac:dyDescent="0.25">
      <c r="A14" t="s">
        <v>30</v>
      </c>
      <c r="B14" s="43">
        <f>COUNTA(Formulário!V29)</f>
        <v>0</v>
      </c>
    </row>
    <row r="15" spans="1:5" x14ac:dyDescent="0.25">
      <c r="A15" t="s">
        <v>50</v>
      </c>
      <c r="B15" s="43">
        <f>COUNTA(Formulário!AC29)</f>
        <v>0</v>
      </c>
    </row>
    <row r="16" spans="1:5" x14ac:dyDescent="0.25">
      <c r="A16" t="s">
        <v>51</v>
      </c>
      <c r="B16" s="43">
        <f>COUNTA(Formulário!AL29)</f>
        <v>0</v>
      </c>
    </row>
    <row r="17" spans="1:5" x14ac:dyDescent="0.25">
      <c r="A17" t="s">
        <v>64</v>
      </c>
      <c r="B17" s="43">
        <f>IF(Formulário!E18&lt;&gt;"A",1,COUNTA(Formulário!T36))</f>
        <v>1</v>
      </c>
    </row>
    <row r="18" spans="1:5" x14ac:dyDescent="0.25">
      <c r="A18" s="10" t="str">
        <f>IF($D$21=1,"Qte trafo de potência distinta","Transformador particular (kVA)")</f>
        <v>Transformador particular (kVA)</v>
      </c>
      <c r="B18" s="43">
        <f>IF(Grupo="B",1,IF(AND($D$21=1,Formulário!$S$38&gt;4),0,COUNTA(Formulário!$S$38)))</f>
        <v>1</v>
      </c>
      <c r="D18" s="43">
        <f>IF(AND(Dados!D7=4,TipoSE="Nº 1"),0,1)</f>
        <v>1</v>
      </c>
      <c r="E18" t="s">
        <v>217</v>
      </c>
    </row>
    <row r="19" spans="1:5" x14ac:dyDescent="0.25">
      <c r="A19" t="s">
        <v>227</v>
      </c>
      <c r="B19" s="43">
        <f>IF(Grupo="B",1,IF(OR(TipoSE="Nº 1",TipoSE="Nº 5",TipoSE="Nº 8"),1,IF(AND($D$21=1,Formulário!$S$38=1,OR(Formulário!$Z$38="",Formulário!$AF$38="")),0,COUNTA(Formulário!$S$38)*COUNTA(Formulário!$Z$38)*COUNTA(Formulário!$AF$38))))</f>
        <v>1</v>
      </c>
    </row>
    <row r="20" spans="1:5" x14ac:dyDescent="0.25">
      <c r="A20" t="s">
        <v>227</v>
      </c>
      <c r="B20" s="43">
        <f>IF(Grupo="B",1,IF(OR(TipoSE="Nº 1",TipoSE="Nº 5",TipoSE="Nº 8"),1,IF(AND($D$21=1,Formulário!$S$38=1),1,IF(OR(Formulário!$Z$38="",Formulário!$AF$38="",Formulário!$Z$36="",Formulário!$AF$36=""),0,COUNTA(Formulário!$S$38)*COUNTA(Formulário!$Z$38)*COUNTA(Formulário!$AF$38)*COUNTA(Formulário!$Z$36)*COUNTA(Formulário!$AF$36)))))</f>
        <v>1</v>
      </c>
      <c r="D20" s="19">
        <f>IF(Grupo="B",0,IF(IF(OR(TipoSE="Nº 2",TipoSE="Nº 4"),IF(AND(Formulário!$S$38=1,OR(TipoSE="Nº 2",TipoSE="Nº 4")),SUM(Formulário!$Z$38*Formulário!$AF$38),IF(AND(Formulário!$S$38=2,OR(TipoSE="Nº 2",TipoSE="Nº 4")),SUM(Formulário!$Z$36*Formulário!$AF$36,Formulário!$Z$38*Formulário!$AF$38),IF(AND(Formulário!$S$38=3,OR(TipoSE="Nº 2",TipoSE="Nº 4")),SUM(Formulário!$AM$36*Formulário!$AS$36,Formulário!$Z$36*Formulário!$AF$36,Formulário!$Z$38*Formulário!$AF$38),IF(AND(Formulário!S$38&gt;=4,OR(TipoSE="Nº 2",TipoSE="Nº 4")),SUM(Formulário!$AM$36*Formulário!$AS$36,Formulário!$AM$38*Formulário!$AS$38,Formulário!$Z$36*Formulário!$AF$36,Formulário!$Z$38*Formulário!$AF$38),0)))),Formulário!$S$38)&lt;Pot_Ativa_Instalada,1,0))</f>
        <v>0</v>
      </c>
      <c r="E20" t="s">
        <v>236</v>
      </c>
    </row>
    <row r="21" spans="1:5" x14ac:dyDescent="0.25">
      <c r="A21" t="s">
        <v>227</v>
      </c>
      <c r="B21" s="43">
        <f>IF(Grupo="B",1,IF(OR(TipoSE="Nº 1",TipoSE="Nº 5",TipoSE="Nº 8"),1,IF(AND($D$21=1,Formulário!$S$38&lt;3),1,IF(OR(Formulário!$Z$38="",Formulário!$AF$38="",Formulário!$Z$36="",Formulário!$AF$36="",Formulário!$AM$36="",Formulário!$AS$36=""),0,COUNTA(Formulário!$S$38)*COUNTA(Formulário!$Z$38)*COUNTA(Formulário!$AF$38)*COUNTA(Formulário!$Z$36)*COUNTA(Formulário!$AF$36)*COUNTA(Formulário!$AM$36)*COUNTA(Formulário!$AS$36)))))</f>
        <v>1</v>
      </c>
      <c r="D21" s="43">
        <f>IF(OR(TipoSE="Nº 2",TipoSE="Nº 4"),1,0)</f>
        <v>0</v>
      </c>
      <c r="E21" t="s">
        <v>224</v>
      </c>
    </row>
    <row r="22" spans="1:5" x14ac:dyDescent="0.25">
      <c r="A22" t="s">
        <v>227</v>
      </c>
      <c r="B22" s="43">
        <f>IF(Grupo="B",1,IF(OR(TipoSE="Nº 1",TipoSE="Nº 5",TipoSE="Nº 8"),1,IF(AND($D$21=1,Formulário!$S$38&lt;4),1,IF(OR(Formulário!$Z$38="",Formulário!$AF$38="",Formulário!$Z$36="",Formulário!$AF$36="",Formulário!$AM$36="",Formulário!$AS$36="",Formulário!AM38="",Formulário!$AS$38=""),0,COUNTA(Formulário!$S$38)*COUNTA(Formulário!$Z$38)*COUNTA(Formulário!$AF$38)*COUNTA(Formulário!$Z$36)*COUNTA(Formulário!$AF$36)*COUNTA(Formulário!$AM$36)*COUNTA(Formulário!$AS$36)*COUNTA(Formulário!AM38)*COUNTA(Formulário!$AS$38)))))</f>
        <v>1</v>
      </c>
      <c r="D22" s="43">
        <f>IF(OR(TipoSE="Nº 1",TipoSE="Nº 5",TipoSE="Nº 8"),1,0)</f>
        <v>0</v>
      </c>
      <c r="E22" t="s">
        <v>225</v>
      </c>
    </row>
    <row r="23" spans="1:5" x14ac:dyDescent="0.25">
      <c r="A23" s="10" t="s">
        <v>29</v>
      </c>
      <c r="B23" s="43">
        <f>COUNTA(Formulário!I41)</f>
        <v>0</v>
      </c>
      <c r="D23" s="43">
        <f>IF(TipoSE="Nº 1",1,0)</f>
        <v>0</v>
      </c>
      <c r="E23" t="s">
        <v>226</v>
      </c>
    </row>
    <row r="24" spans="1:5" x14ac:dyDescent="0.25">
      <c r="A24" s="10" t="s">
        <v>223</v>
      </c>
      <c r="B24" s="43">
        <f>IF(Dados!D6=3,COUNTA(Formulário!AU41),1)</f>
        <v>1</v>
      </c>
    </row>
    <row r="25" spans="1:5" x14ac:dyDescent="0.25">
      <c r="A25" s="10" t="s">
        <v>52</v>
      </c>
      <c r="B25" s="43">
        <f>COUNTA(Formulário!I43)</f>
        <v>0</v>
      </c>
    </row>
    <row r="26" spans="1:5" x14ac:dyDescent="0.25">
      <c r="A26" t="s">
        <v>230</v>
      </c>
      <c r="B26" s="43">
        <f>IF(Grupo="B",1,IF(OR(TipoSE="Nº 1",TipoSE="Nº 5",TipoSE="Nº 8"),COUNTA(Formulário!AB47)*COUNTA(Formulário!AH47),1))</f>
        <v>1</v>
      </c>
    </row>
    <row r="27" spans="1:5" x14ac:dyDescent="0.25">
      <c r="A27" s="10" t="s">
        <v>54</v>
      </c>
      <c r="B27" s="43">
        <f>IF(Grupo="A",1,COUNTA(Formulário!AH47)*COUNTA(Formulário!AB47))</f>
        <v>0</v>
      </c>
    </row>
    <row r="28" spans="1:5" x14ac:dyDescent="0.25">
      <c r="A28" s="21" t="s">
        <v>55</v>
      </c>
      <c r="B28" s="43">
        <f>IF(Grupo="A",1,IF(OR(Formulário!I41=Apoio!A2,Formulário!I41=Apoio!A3),1,IF(AND(Formulário!I41=Apoio!A5,Formulário!AB49="Sem Alter. Carga"),1,COUNTA(Formulário!AB49)*COUNTA(Formulário!AH49))))</f>
        <v>0</v>
      </c>
    </row>
    <row r="29" spans="1:5" x14ac:dyDescent="0.25">
      <c r="A29" s="21" t="s">
        <v>56</v>
      </c>
      <c r="B29" s="43">
        <f>IF(Grupo="A",1,IF(Formulário!$H$49&lt;&gt;" Disjuntor Geral do Padrão (Conforme ND 5.2):",1,IF(AND(Formulário!$H$49=" Disjuntor Geral do Padrão (Conforme ND 5.2):",Formulário!AB49="Sem Disj. Geral"),1,IF(AND(Formulário!$H$49=" Disjuntor Geral do Padrão (Conforme ND 5.2):",Formulário!AB49&lt;&gt;"Sem Disj. Geral"),COUNTA(Formulário!AB49)*COUNTA(Formulário!AH49)))))</f>
        <v>1</v>
      </c>
    </row>
    <row r="30" spans="1:5" x14ac:dyDescent="0.25">
      <c r="A30" s="21" t="s">
        <v>56</v>
      </c>
      <c r="B30" s="43">
        <f>IF(Grupo="A",1,IF(Formulário!$H$51="",1,IF(AND(Formulário!$H$51=" Disjuntor Geral do Padrão (Conforme ND 5.2):",Formulário!$AB$51="Sem Disj. Geral"),1,IF(AND(Formulário!$H$51=" Disjuntor Geral do Padrão (Conforme ND 5.2):",Formulário!AB50&lt;&gt;"Sem Disj. Geral"),COUNTA(Formulário!$AB$51)*COUNTA(Formulário!$AH$51)))))</f>
        <v>1</v>
      </c>
    </row>
    <row r="31" spans="1:5" x14ac:dyDescent="0.25">
      <c r="A31" s="21" t="s">
        <v>216</v>
      </c>
      <c r="B31" s="43">
        <f>IF(Grupo="A",1,IF(Formulário!I44="Edificação Individual",1,IF(OR(Formulário!$H$51="",Formulário!$AB$51="Sem Disj. Geral"),1,COUNTA(Formulário!AT51))))</f>
        <v>1</v>
      </c>
    </row>
    <row r="32" spans="1:5" x14ac:dyDescent="0.25">
      <c r="A32" s="10" t="s">
        <v>57</v>
      </c>
      <c r="B32" s="43">
        <f>COUNTA(Formulário!L55)</f>
        <v>0</v>
      </c>
    </row>
    <row r="33" spans="1:2" x14ac:dyDescent="0.25">
      <c r="A33" s="21" t="s">
        <v>58</v>
      </c>
      <c r="B33" s="43">
        <f>IF(Formulário!I41=Apoio!A2,1,IF(Formulário!U57="&lt;-- Para SE Nº 1 não pode haver mudança de local do Padrão de Entrada. Altere...",0,COUNTA(Formulário!R57)))</f>
        <v>0</v>
      </c>
    </row>
    <row r="34" spans="1:2" x14ac:dyDescent="0.25">
      <c r="A34" s="21" t="s">
        <v>340</v>
      </c>
      <c r="B34" s="43">
        <f>COUNTA(Formulário!AD59)</f>
        <v>0</v>
      </c>
    </row>
    <row r="35" spans="1:2" x14ac:dyDescent="0.25">
      <c r="A35" s="21" t="s">
        <v>341</v>
      </c>
      <c r="B35" s="43">
        <f>COUNTA(Formulário!AI63)</f>
        <v>1</v>
      </c>
    </row>
    <row r="36" spans="1:2" x14ac:dyDescent="0.25">
      <c r="A36" s="10" t="s">
        <v>59</v>
      </c>
      <c r="B36" s="43">
        <f>COUNTA(TipoFonte)</f>
        <v>1</v>
      </c>
    </row>
    <row r="37" spans="1:2" x14ac:dyDescent="0.25">
      <c r="A37" s="10" t="s">
        <v>60</v>
      </c>
      <c r="B37" s="43">
        <f>COUNTA(Formulário!L100)</f>
        <v>0</v>
      </c>
    </row>
    <row r="38" spans="1:2" x14ac:dyDescent="0.25">
      <c r="A38" t="s">
        <v>61</v>
      </c>
      <c r="B38" s="43">
        <v>1</v>
      </c>
    </row>
    <row r="39" spans="1:2" x14ac:dyDescent="0.25">
      <c r="A39" t="s">
        <v>63</v>
      </c>
      <c r="B39" s="43">
        <f>IF(Formulário!AL12=Dados!V5,1,COUNTA(Formulário!AS100))</f>
        <v>0</v>
      </c>
    </row>
    <row r="40" spans="1:2" x14ac:dyDescent="0.25">
      <c r="A40" s="59" t="str">
        <f>IF(TipoFonte="Solar","Potência Total Módulos (kW)",IF(OR(TipoFonte="Hidráulica",TipoFonte="Biomassa",TipoFonte="Cogeração Qualificada"),"Potência Aparente (kVA)",IF(TipoFonte="Eólica","Quantidade de Aerogeradores","")))</f>
        <v>Potência Total Módulos (kW)</v>
      </c>
      <c r="B40" s="43">
        <f>COUNTA(Formulário!L108)</f>
        <v>0</v>
      </c>
    </row>
    <row r="41" spans="1:2" x14ac:dyDescent="0.25">
      <c r="A41" s="59" t="str">
        <f>IF(TipoFonte="Solar","Potência Total Inversores (kW)",IF(OR(TipoFonte="Hidráulica",TipoFonte="Biomassa",TipoFonte="Eólica",TipoFonte="Cogeração Qualificada"),"Potência Instalada (kW)",""))</f>
        <v>Potência Total Inversores (kW)</v>
      </c>
      <c r="B41" s="43">
        <f>COUNTA(Formulário!AI108)</f>
        <v>0</v>
      </c>
    </row>
    <row r="42" spans="1:2" x14ac:dyDescent="0.25">
      <c r="A42" s="59" t="str">
        <f>IF(TipoFonte="Solar","Área dos Arranjos (m²)",IF(OR(TipoFonte="Hidráulica",TipoFonte="Biomassa",TipoFonte="Eólica",TipoFonte="Cogeração Qualificada"),"Fator de Potência",""))</f>
        <v>Área dos Arranjos (m²)</v>
      </c>
      <c r="B42" s="43">
        <f>COUNTA(Formulário!L116)</f>
        <v>0</v>
      </c>
    </row>
    <row r="43" spans="1:2" x14ac:dyDescent="0.25">
      <c r="A43" s="59" t="str">
        <f>IF(TipoFonte="Solar","Quantidade de Módulos",IF(TipoFonte="Hidráulica","Tensão (kV)",IF(OR(TipoFonte="Cogeração Qualificada",TipoFonte="Biomassa"),"Combustível",IF(TipoFonte="Eólica","Fabricante dos Aerogeradores",""))))</f>
        <v>Quantidade de Módulos</v>
      </c>
      <c r="B43" s="43">
        <f>COUNTA(Formulário!L110)</f>
        <v>0</v>
      </c>
    </row>
    <row r="44" spans="1:2" x14ac:dyDescent="0.25">
      <c r="A44" s="59" t="str">
        <f>IF(TipoFonte="Solar","Modelo dos Módulos",IF(OR(TipoFonte="Cogeração Qualificada",TipoFonte="Biomassa"),"Máquina Motriz (Motor/Turbina)",IF(TipoFonte="Eólica","Altura da pá (m)",IF(TipoFonte="Hidráulica","Nome do rio",""))))</f>
        <v>Modelo dos Módulos</v>
      </c>
      <c r="B44" s="43">
        <f>COUNTA(Formulário!L112)</f>
        <v>0</v>
      </c>
    </row>
    <row r="45" spans="1:2" x14ac:dyDescent="0.25">
      <c r="A45" s="59" t="str">
        <f>IF(TipoFonte="Solar","Fabricante dos Módulos",IF(TipoFonte="Hidráulica","Nível Operacional Normal de Jusante (m)",IF(OR(TipoFonte="Cogeração Qualificada",TipoFonte="Biomassa"),"Ciclo Termodinâmico (Aberto/Fechado)",IF(TipoFonte="Eólica","Eixo do rotor",""))))</f>
        <v>Fabricante dos Módulos</v>
      </c>
      <c r="B45" s="43">
        <f>COUNTA(Formulário!L114)</f>
        <v>0</v>
      </c>
    </row>
    <row r="46" spans="1:2" x14ac:dyDescent="0.25">
      <c r="A46" s="59" t="str">
        <f>IF(TipoFonte="Solar","Quantidade de Inversores",IF(OR(TipoFonte="Cogeração Qualificada",TipoFonte="Biomassa"),"Número do Despacho de qualificação",IF(TipoFonte="Eólica","Modelo dos Aerogeradores","")))</f>
        <v>Quantidade de Inversores</v>
      </c>
      <c r="B46" s="43">
        <f>IF(A46="",1,COUNTA(Formulário!AI110))</f>
        <v>0</v>
      </c>
    </row>
    <row r="47" spans="1:2" x14ac:dyDescent="0.25">
      <c r="A47" s="59" t="str">
        <f>IF(TipoFonte="Solar","Modelo dos Inversores","")</f>
        <v>Modelo dos Inversores</v>
      </c>
      <c r="B47" s="43">
        <f>IF(A47="",1,COUNTA(Formulário!AI112))</f>
        <v>0</v>
      </c>
    </row>
    <row r="48" spans="1:2" x14ac:dyDescent="0.25">
      <c r="A48" s="59" t="str">
        <f>IF(TipoFonte="Solar","Fabricante dos Inversores","")</f>
        <v>Fabricante dos Inversores</v>
      </c>
      <c r="B48" s="43">
        <f>IF(A48="",1,COUNTA(Formulário!AI114))</f>
        <v>0</v>
      </c>
    </row>
    <row r="49" spans="1:2" x14ac:dyDescent="0.25">
      <c r="A49" s="59" t="str">
        <f>IF(TipoFonte="Solar","Tensão de Conexão Inversor (V)","")</f>
        <v>Tensão de Conexão Inversor (V)</v>
      </c>
      <c r="B49" s="43">
        <f>IF(A49="",1,COUNTA(Formulário!AI116))</f>
        <v>0</v>
      </c>
    </row>
    <row r="50" spans="1:2" x14ac:dyDescent="0.25">
      <c r="A50" s="59" t="str">
        <f>IF(TipoFonte="Solar","Potência Nominal Inversor (kW)","")</f>
        <v>Potência Nominal Inversor (kW)</v>
      </c>
      <c r="B50" s="43">
        <f>IF(A50="",1,COUNTA(Formulário!AI118))</f>
        <v>0</v>
      </c>
    </row>
    <row r="51" spans="1:2" x14ac:dyDescent="0.25">
      <c r="A51" t="s">
        <v>210</v>
      </c>
      <c r="B51" s="43">
        <f>COUNTA(Formulário!Q220)</f>
        <v>0</v>
      </c>
    </row>
    <row r="52" spans="1:2" x14ac:dyDescent="0.25">
      <c r="A52" t="s">
        <v>212</v>
      </c>
      <c r="B52" s="43">
        <f>COUNTA(Formulário!O222)</f>
        <v>0</v>
      </c>
    </row>
    <row r="53" spans="1:2" x14ac:dyDescent="0.25">
      <c r="A53" t="s">
        <v>234</v>
      </c>
      <c r="B53" s="43">
        <f>COUNTA(Formulário!O226)</f>
        <v>0</v>
      </c>
    </row>
    <row r="54" spans="1:2" x14ac:dyDescent="0.25">
      <c r="A54" t="s">
        <v>213</v>
      </c>
      <c r="B54" s="43">
        <f>COUNTA(Formulário!Y226)</f>
        <v>0</v>
      </c>
    </row>
    <row r="55" spans="1:2" x14ac:dyDescent="0.25">
      <c r="A55" t="s">
        <v>220</v>
      </c>
      <c r="B55" s="43">
        <f>COUNTA(Formulário!C236)</f>
        <v>0</v>
      </c>
    </row>
  </sheetData>
  <sheetProtection algorithmName="SHA-512" hashValue="w7UsGdQgvOiFT62Klh1GoY4fQut77Nd8gX1V8bhWBziWh86tuVba/sgbpr30pn2vmuBghcA/VlUR0s6wHQfb3A==" saltValue="sIFwlRKZIkasPv2ieh7sIA==" spinCount="100000" sheet="1" objects="1" scenarios="1"/>
  <pageMargins left="0.511811024" right="0.511811024" top="0.78740157499999996" bottom="0.78740157499999996" header="0.31496062000000002" footer="0.31496062000000002"/>
  <headerFooter>
    <oddFooter>&amp;R_x000D_&amp;1#&amp;"Calibri"&amp;10&amp;K000000 Classificação: Público</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A85D8-F267-4BF4-8BA2-1A80C82E76FE}">
  <sheetPr codeName="Planilha5"/>
  <dimension ref="A1:A21"/>
  <sheetViews>
    <sheetView workbookViewId="0">
      <selection activeCell="A21" sqref="A21"/>
    </sheetView>
  </sheetViews>
  <sheetFormatPr defaultRowHeight="15" x14ac:dyDescent="0.25"/>
  <cols>
    <col min="1" max="1" width="165.5703125" customWidth="1"/>
  </cols>
  <sheetData>
    <row r="1" spans="1:1" x14ac:dyDescent="0.25">
      <c r="A1" s="56" t="s">
        <v>247</v>
      </c>
    </row>
    <row r="2" spans="1:1" x14ac:dyDescent="0.25">
      <c r="A2" t="s">
        <v>141</v>
      </c>
    </row>
    <row r="3" spans="1:1" x14ac:dyDescent="0.25">
      <c r="A3" t="s">
        <v>222</v>
      </c>
    </row>
    <row r="4" spans="1:1" x14ac:dyDescent="0.25">
      <c r="A4" s="56" t="s">
        <v>248</v>
      </c>
    </row>
    <row r="5" spans="1:1" x14ac:dyDescent="0.25">
      <c r="A5" t="s">
        <v>249</v>
      </c>
    </row>
    <row r="6" spans="1:1" x14ac:dyDescent="0.25">
      <c r="A6" t="s">
        <v>250</v>
      </c>
    </row>
    <row r="7" spans="1:1" x14ac:dyDescent="0.25">
      <c r="A7" t="s">
        <v>251</v>
      </c>
    </row>
    <row r="8" spans="1:1" x14ac:dyDescent="0.25">
      <c r="A8" t="s">
        <v>252</v>
      </c>
    </row>
    <row r="9" spans="1:1" x14ac:dyDescent="0.25">
      <c r="A9" t="s">
        <v>253</v>
      </c>
    </row>
    <row r="10" spans="1:1" x14ac:dyDescent="0.25">
      <c r="A10" s="56" t="s">
        <v>254</v>
      </c>
    </row>
    <row r="11" spans="1:1" x14ac:dyDescent="0.25">
      <c r="A11" t="s">
        <v>255</v>
      </c>
    </row>
    <row r="12" spans="1:1" x14ac:dyDescent="0.25">
      <c r="A12" t="s">
        <v>256</v>
      </c>
    </row>
    <row r="13" spans="1:1" x14ac:dyDescent="0.25">
      <c r="A13" t="s">
        <v>257</v>
      </c>
    </row>
    <row r="14" spans="1:1" x14ac:dyDescent="0.25">
      <c r="A14" t="s">
        <v>258</v>
      </c>
    </row>
    <row r="15" spans="1:1" x14ac:dyDescent="0.25">
      <c r="A15" s="56" t="s">
        <v>259</v>
      </c>
    </row>
    <row r="16" spans="1:1" ht="30.75" customHeight="1" x14ac:dyDescent="0.25">
      <c r="A16" s="53" t="s">
        <v>260</v>
      </c>
    </row>
    <row r="17" spans="1:1" x14ac:dyDescent="0.25">
      <c r="A17" t="s">
        <v>261</v>
      </c>
    </row>
    <row r="18" spans="1:1" x14ac:dyDescent="0.25">
      <c r="A18" s="56" t="s">
        <v>262</v>
      </c>
    </row>
    <row r="19" spans="1:1" x14ac:dyDescent="0.25">
      <c r="A19" t="s">
        <v>263</v>
      </c>
    </row>
    <row r="20" spans="1:1" x14ac:dyDescent="0.25">
      <c r="A20" t="s">
        <v>264</v>
      </c>
    </row>
    <row r="21" spans="1:1" x14ac:dyDescent="0.25">
      <c r="A21" t="s">
        <v>265</v>
      </c>
    </row>
  </sheetData>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37929-F649-4C4B-BB0B-39A8CAD0AF00}">
  <sheetPr codeName="Planilha6"/>
  <dimension ref="A1:C14"/>
  <sheetViews>
    <sheetView workbookViewId="0">
      <selection activeCell="B12" sqref="B12"/>
    </sheetView>
  </sheetViews>
  <sheetFormatPr defaultRowHeight="15" x14ac:dyDescent="0.25"/>
  <cols>
    <col min="2" max="2" width="10.7109375" bestFit="1" customWidth="1"/>
    <col min="3" max="3" width="52" bestFit="1" customWidth="1"/>
  </cols>
  <sheetData>
    <row r="1" spans="1:3" x14ac:dyDescent="0.25">
      <c r="A1" s="68" t="s">
        <v>238</v>
      </c>
      <c r="B1" s="68" t="s">
        <v>239</v>
      </c>
      <c r="C1" s="68" t="s">
        <v>240</v>
      </c>
    </row>
    <row r="2" spans="1:3" ht="45" x14ac:dyDescent="0.25">
      <c r="A2" s="65" t="s">
        <v>241</v>
      </c>
      <c r="B2" s="66">
        <v>44841</v>
      </c>
      <c r="C2" s="67" t="s">
        <v>244</v>
      </c>
    </row>
    <row r="3" spans="1:3" x14ac:dyDescent="0.25">
      <c r="A3" s="65" t="s">
        <v>245</v>
      </c>
      <c r="B3" s="66">
        <v>44915</v>
      </c>
      <c r="C3" s="65" t="s">
        <v>246</v>
      </c>
    </row>
    <row r="4" spans="1:3" ht="30" x14ac:dyDescent="0.25">
      <c r="A4" s="25" t="s">
        <v>272</v>
      </c>
      <c r="B4" s="72">
        <v>44999</v>
      </c>
      <c r="C4" s="73" t="s">
        <v>273</v>
      </c>
    </row>
    <row r="5" spans="1:3" x14ac:dyDescent="0.25">
      <c r="A5" s="65" t="s">
        <v>322</v>
      </c>
      <c r="B5" s="66">
        <v>45107</v>
      </c>
      <c r="C5" s="65" t="s">
        <v>323</v>
      </c>
    </row>
    <row r="6" spans="1:3" ht="60" x14ac:dyDescent="0.25">
      <c r="A6" s="65" t="s">
        <v>327</v>
      </c>
      <c r="B6" s="66">
        <v>45306</v>
      </c>
      <c r="C6" s="90" t="s">
        <v>344</v>
      </c>
    </row>
    <row r="7" spans="1:3" x14ac:dyDescent="0.25">
      <c r="A7" s="65" t="s">
        <v>342</v>
      </c>
      <c r="B7" s="66">
        <v>45309</v>
      </c>
      <c r="C7" s="65" t="s">
        <v>343</v>
      </c>
    </row>
    <row r="8" spans="1:3" ht="90" x14ac:dyDescent="0.25">
      <c r="A8" s="65" t="s">
        <v>370</v>
      </c>
      <c r="B8" s="66">
        <v>45504</v>
      </c>
      <c r="C8" s="67" t="s">
        <v>380</v>
      </c>
    </row>
    <row r="9" spans="1:3" ht="60" x14ac:dyDescent="0.25">
      <c r="A9" s="65" t="s">
        <v>385</v>
      </c>
      <c r="B9" s="66">
        <v>45526</v>
      </c>
      <c r="C9" s="67" t="s">
        <v>386</v>
      </c>
    </row>
    <row r="10" spans="1:3" ht="60" x14ac:dyDescent="0.25">
      <c r="A10" s="65" t="s">
        <v>396</v>
      </c>
      <c r="B10" s="66">
        <v>45597</v>
      </c>
      <c r="C10" s="67" t="s">
        <v>399</v>
      </c>
    </row>
    <row r="11" spans="1:3" ht="45" x14ac:dyDescent="0.25">
      <c r="A11" s="65" t="s">
        <v>406</v>
      </c>
      <c r="B11" s="66">
        <v>45629</v>
      </c>
      <c r="C11" s="67" t="s">
        <v>407</v>
      </c>
    </row>
    <row r="12" spans="1:3" x14ac:dyDescent="0.25">
      <c r="A12" s="65"/>
      <c r="B12" s="65"/>
      <c r="C12" s="65"/>
    </row>
    <row r="13" spans="1:3" x14ac:dyDescent="0.25">
      <c r="A13" s="65"/>
      <c r="B13" s="65"/>
      <c r="C13" s="65"/>
    </row>
    <row r="14" spans="1:3" x14ac:dyDescent="0.25">
      <c r="A14" s="65"/>
      <c r="B14" s="65"/>
      <c r="C14" s="65"/>
    </row>
  </sheetData>
  <sheetProtection algorithmName="SHA-512" hashValue="na6iAPa2fdHuUD9hidcIx++WwsNJGwYOVqjUhmvpY+vSfCprCPtt5mDgFrxhVt0BXYAtxGCiw/9kU2WXe+JCJQ==" saltValue="Lzsl1Fc35nvXPM2WQCcGkw==" spinCount="100000" sheet="1" objects="1" scenarios="1"/>
  <pageMargins left="0.511811024" right="0.511811024" top="0.78740157499999996" bottom="0.78740157499999996" header="0.31496062000000002" footer="0.31496062000000002"/>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Flow_SignoffStatus xmlns="45d67614-f831-4c1a-b0ce-cc8ab3613f3c" xsi:nil="true"/>
    <TaxCatchAll xmlns="767fd1fe-d491-41e7-9dcd-363a8ae85ed5" xsi:nil="true"/>
    <lcf76f155ced4ddcb4097134ff3c332f xmlns="45d67614-f831-4c1a-b0ce-cc8ab3613f3c">
      <Terms xmlns="http://schemas.microsoft.com/office/infopath/2007/PartnerControls"/>
    </lcf76f155ced4ddcb4097134ff3c332f>
    <Status xmlns="45d67614-f831-4c1a-b0ce-cc8ab3613f3c"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8D33EF0AC48BE443A3D81189F34FC699" ma:contentTypeVersion="19" ma:contentTypeDescription="Crie um novo documento." ma:contentTypeScope="" ma:versionID="e8964e7058cd62ed6a19f8fc58ac3188">
  <xsd:schema xmlns:xsd="http://www.w3.org/2001/XMLSchema" xmlns:xs="http://www.w3.org/2001/XMLSchema" xmlns:p="http://schemas.microsoft.com/office/2006/metadata/properties" xmlns:ns1="http://schemas.microsoft.com/sharepoint/v3" xmlns:ns2="45d67614-f831-4c1a-b0ce-cc8ab3613f3c" xmlns:ns3="767fd1fe-d491-41e7-9dcd-363a8ae85ed5" targetNamespace="http://schemas.microsoft.com/office/2006/metadata/properties" ma:root="true" ma:fieldsID="d51cfbcfc25b5e9cf837acc9d8c7f1a3" ns1:_="" ns2:_="" ns3:_="">
    <xsd:import namespace="http://schemas.microsoft.com/sharepoint/v3"/>
    <xsd:import namespace="45d67614-f831-4c1a-b0ce-cc8ab3613f3c"/>
    <xsd:import namespace="767fd1fe-d491-41e7-9dcd-363a8ae85ed5"/>
    <xsd:element name="properties">
      <xsd:complexType>
        <xsd:sequence>
          <xsd:element name="documentManagement">
            <xsd:complexType>
              <xsd:all>
                <xsd:element ref="ns2:MediaServiceMetadata" minOccurs="0"/>
                <xsd:element ref="ns2:MediaServiceFastMetadata" minOccurs="0"/>
                <xsd:element ref="ns1:_ip_UnifiedCompliancePolicyProperties" minOccurs="0"/>
                <xsd:element ref="ns1:_ip_UnifiedCompliancePolicyUIActio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_Flow_SignoffStatus" minOccurs="0"/>
                <xsd:element ref="ns3:SharedWithUsers" minOccurs="0"/>
                <xsd:element ref="ns3:SharedWithDetails" minOccurs="0"/>
                <xsd:element ref="ns2:Statu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Propriedades da Política de Conformidade Unificada" ma:hidden="true" ma:internalName="_ip_UnifiedCompliancePolicyProperties">
      <xsd:simpleType>
        <xsd:restriction base="dms:Note"/>
      </xsd:simpleType>
    </xsd:element>
    <xsd:element name="_ip_UnifiedCompliancePolicyUIAction" ma:index="11" nillable="true" ma:displayName="Ação de Interface do Usuário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5d67614-f831-4c1a-b0ce-cc8ab3613f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Marcações de imagem" ma:readOnly="false" ma:fieldId="{5cf76f15-5ced-4ddc-b409-7134ff3c332f}" ma:taxonomyMulti="true" ma:sspId="8ba655b3-91bc-415c-bde2-f58ae48cbc7c"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_Flow_SignoffStatus" ma:index="20" nillable="true" ma:displayName="Status de liberação" ma:format="Dropdown" ma:internalName="Status_x0020_de_x0020_libera_x00e7__x00e3_o">
      <xsd:simpleType>
        <xsd:restriction base="dms:Text">
          <xsd:maxLength value="255"/>
        </xsd:restriction>
      </xsd:simpleType>
    </xsd:element>
    <xsd:element name="Status" ma:index="23" nillable="true" ma:displayName="Status" ma:description="Controle de pareceres enviados sem conferência" ma:format="Dropdown" ma:internalName="Status">
      <xsd:simpleType>
        <xsd:restriction base="dms:Choice">
          <xsd:enumeration value="Não Conferido"/>
          <xsd:enumeration value="Conferido"/>
          <xsd:enumeration value="Escolha 3 "/>
        </xsd:restrictio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Location" ma:index="25" nillable="true" ma:displayName="Location" ma:description="" ma:indexed="true" ma:internalName="MediaServiceLocation"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7fd1fe-d491-41e7-9dcd-363a8ae85ed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e4bd4a1-8705-49ba-8628-855fe8951d25}" ma:internalName="TaxCatchAll" ma:showField="CatchAllData" ma:web="767fd1fe-d491-41e7-9dcd-363a8ae85ed5">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D7C794-F6A0-427C-AB28-5D43E386FFCF}">
  <ds:schemaRefs>
    <ds:schemaRef ds:uri="http://schemas.microsoft.com/office/2006/metadata/properties"/>
    <ds:schemaRef ds:uri="http://schemas.microsoft.com/office/infopath/2007/PartnerControls"/>
    <ds:schemaRef ds:uri="http://schemas.microsoft.com/sharepoint/v3"/>
    <ds:schemaRef ds:uri="45d67614-f831-4c1a-b0ce-cc8ab3613f3c"/>
    <ds:schemaRef ds:uri="767fd1fe-d491-41e7-9dcd-363a8ae85ed5"/>
  </ds:schemaRefs>
</ds:datastoreItem>
</file>

<file path=customXml/itemProps2.xml><?xml version="1.0" encoding="utf-8"?>
<ds:datastoreItem xmlns:ds="http://schemas.openxmlformats.org/officeDocument/2006/customXml" ds:itemID="{21FBC36D-F9EF-47F1-A72F-349D4D026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5d67614-f831-4c1a-b0ce-cc8ab3613f3c"/>
    <ds:schemaRef ds:uri="767fd1fe-d491-41e7-9dcd-363a8ae85e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9B43AD-E8D6-4CEB-8DFC-364188A68D0C}">
  <ds:schemaRefs>
    <ds:schemaRef ds:uri="http://schemas.microsoft.com/sharepoint/v3/contenttype/forms"/>
  </ds:schemaRefs>
</ds:datastoreItem>
</file>

<file path=docMetadata/LabelInfo.xml><?xml version="1.0" encoding="utf-8"?>
<clbl:labelList xmlns:clbl="http://schemas.microsoft.com/office/2020/mipLabelMetadata">
  <clbl:label id="{7158201a-9c91-4077-8c8c-35afb0b2b6e2}" enabled="1" method="Privileged" siteId="{97ce2340-9c1d-45b1-a835-7ea811b6fe9a}"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Planilhas</vt:lpstr>
      </vt:variant>
      <vt:variant>
        <vt:i4>7</vt:i4>
      </vt:variant>
      <vt:variant>
        <vt:lpstr>Intervalos Nomeados</vt:lpstr>
      </vt:variant>
      <vt:variant>
        <vt:i4>21</vt:i4>
      </vt:variant>
    </vt:vector>
  </HeadingPairs>
  <TitlesOfParts>
    <vt:vector size="28" baseType="lpstr">
      <vt:lpstr>Formulário</vt:lpstr>
      <vt:lpstr>Notas Explicativas</vt:lpstr>
      <vt:lpstr>Dados</vt:lpstr>
      <vt:lpstr>Apoio</vt:lpstr>
      <vt:lpstr>Conferencia</vt:lpstr>
      <vt:lpstr>Resp Seg Barragem</vt:lpstr>
      <vt:lpstr>ControleREV</vt:lpstr>
      <vt:lpstr>Formulário!Area_de_impressao</vt:lpstr>
      <vt:lpstr>CargaInstalada</vt:lpstr>
      <vt:lpstr>E_Máximo</vt:lpstr>
      <vt:lpstr>E_Mínimo</vt:lpstr>
      <vt:lpstr>Grupo</vt:lpstr>
      <vt:lpstr>Mensagem_Erro</vt:lpstr>
      <vt:lpstr>Modalidade_FAST</vt:lpstr>
      <vt:lpstr>Modalidade_GERAL</vt:lpstr>
      <vt:lpstr>N_Máximo</vt:lpstr>
      <vt:lpstr>N_Mínimo</vt:lpstr>
      <vt:lpstr>Outros_Trafos_Particulares</vt:lpstr>
      <vt:lpstr>Pot_Ativa_Instalada</vt:lpstr>
      <vt:lpstr>Ramal</vt:lpstr>
      <vt:lpstr>TblDisj_1</vt:lpstr>
      <vt:lpstr>Tensão_SE_N°_2</vt:lpstr>
      <vt:lpstr>TensãoA</vt:lpstr>
      <vt:lpstr>TensãoB</vt:lpstr>
      <vt:lpstr>TipoFonte</vt:lpstr>
      <vt:lpstr>Tipos_Edificações</vt:lpstr>
      <vt:lpstr>TipoSE</vt:lpstr>
      <vt:lpstr>Formulário!Titulos_de_impressao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2024-07-29T12:45:15Z</cp:lastPrinted>
  <dcterms:created xsi:type="dcterms:W3CDTF">2006-09-16T00:00:00Z</dcterms:created>
  <dcterms:modified xsi:type="dcterms:W3CDTF">2024-12-03T17:16:20Z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631d8ac-5ed3-47a6-a906-d47f78cf87da_Enabled">
    <vt:lpwstr>true</vt:lpwstr>
  </property>
  <property fmtid="{D5CDD505-2E9C-101B-9397-08002B2CF9AE}" pid="3" name="MSIP_Label_1631d8ac-5ed3-47a6-a906-d47f78cf87da_SetDate">
    <vt:lpwstr>2022-05-31T19:59:14Z</vt:lpwstr>
  </property>
  <property fmtid="{D5CDD505-2E9C-101B-9397-08002B2CF9AE}" pid="4" name="MSIP_Label_1631d8ac-5ed3-47a6-a906-d47f78cf87da_Method">
    <vt:lpwstr>Standard</vt:lpwstr>
  </property>
  <property fmtid="{D5CDD505-2E9C-101B-9397-08002B2CF9AE}" pid="5" name="MSIP_Label_1631d8ac-5ed3-47a6-a906-d47f78cf87da_Name">
    <vt:lpwstr>Uso interno</vt:lpwstr>
  </property>
  <property fmtid="{D5CDD505-2E9C-101B-9397-08002B2CF9AE}" pid="6" name="MSIP_Label_1631d8ac-5ed3-47a6-a906-d47f78cf87da_SiteId">
    <vt:lpwstr>97ce2340-9c1d-45b1-a835-7ea811b6fe9a</vt:lpwstr>
  </property>
  <property fmtid="{D5CDD505-2E9C-101B-9397-08002B2CF9AE}" pid="7" name="MSIP_Label_1631d8ac-5ed3-47a6-a906-d47f78cf87da_ActionId">
    <vt:lpwstr>e5750626-1fcd-433d-bfef-a53f72cd9267</vt:lpwstr>
  </property>
  <property fmtid="{D5CDD505-2E9C-101B-9397-08002B2CF9AE}" pid="8" name="MSIP_Label_1631d8ac-5ed3-47a6-a906-d47f78cf87da_ContentBits">
    <vt:lpwstr>0</vt:lpwstr>
  </property>
  <property fmtid="{D5CDD505-2E9C-101B-9397-08002B2CF9AE}" pid="9" name="ContentTypeId">
    <vt:lpwstr>0x0101008D33EF0AC48BE443A3D81189F34FC699</vt:lpwstr>
  </property>
  <property fmtid="{D5CDD505-2E9C-101B-9397-08002B2CF9AE}" pid="10" name="MediaServiceImageTags">
    <vt:lpwstr/>
  </property>
</Properties>
</file>