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EstaPastaDeTrabalho" defaultThemeVersion="124226"/>
  <mc:AlternateContent xmlns:mc="http://schemas.openxmlformats.org/markup-compatibility/2006">
    <mc:Choice Requires="x15">
      <x15ac:absPath xmlns:x15ac="http://schemas.microsoft.com/office/spreadsheetml/2010/11/ac" url="https://cemigbr.sharepoint.com/sites/ParecerdeAcessoRCGD/Documentos Compartilhados/FORMULARIOS/MINI/REV P2/"/>
    </mc:Choice>
  </mc:AlternateContent>
  <xr:revisionPtr revIDLastSave="3566" documentId="13_ncr:1_{E5ADABD2-C46D-49E9-96BC-7B6D649BAB2B}" xr6:coauthVersionLast="47" xr6:coauthVersionMax="47" xr10:uidLastSave="{A266267E-7649-4D97-B801-71FA744F88DE}"/>
  <workbookProtection workbookAlgorithmName="SHA-512" workbookHashValue="NsSh61qQhaS0QQnO9Q0SRMdesaZVSm+ep2lEQafenyJsUgpCt2tYuqTFBD3hrnLGyE0CECtaqUsRXksP9hiGZA==" workbookSaltValue="Aih6cmM2Jd52PrJj9axOhw==" workbookSpinCount="100000" lockStructure="1"/>
  <bookViews>
    <workbookView xWindow="20370" yWindow="3720" windowWidth="19440" windowHeight="14880" xr2:uid="{00000000-000D-0000-FFFF-FFFF00000000}"/>
  </bookViews>
  <sheets>
    <sheet name="Formulário" sheetId="1" r:id="rId1"/>
    <sheet name="Notas Explicativas" sheetId="5" r:id="rId2"/>
    <sheet name="Resp Seg Barragem" sheetId="9" state="hidden" r:id="rId3"/>
    <sheet name="Apoio" sheetId="2" state="hidden" r:id="rId4"/>
    <sheet name="Dados" sheetId="4" state="hidden" r:id="rId5"/>
    <sheet name="Conferencia" sheetId="3" state="hidden" r:id="rId6"/>
    <sheet name="Conversao Potência" sheetId="7" r:id="rId7"/>
    <sheet name="GFC" sheetId="11" state="hidden" r:id="rId8"/>
    <sheet name="Revisao" sheetId="6" state="hidden" r:id="rId9"/>
  </sheets>
  <externalReferences>
    <externalReference r:id="rId10"/>
  </externalReferences>
  <definedNames>
    <definedName name="_xlnm.Print_Area" localSheetId="0">Formulário!$A$1:$AX$381</definedName>
    <definedName name="CargaInstalada" localSheetId="2">[1]Formulário!$T$39</definedName>
    <definedName name="CargaInstalada">Formulário!#REF!</definedName>
    <definedName name="Demanda_a_contratar" localSheetId="2">[1]Formulário!$K$50</definedName>
    <definedName name="Demanda_a_contratar">Formulário!$P$48</definedName>
    <definedName name="E_Máximo" localSheetId="2">[1]Dados!$J$10</definedName>
    <definedName name="E_Máximo">Dados!$J$10</definedName>
    <definedName name="E_Mínimo" localSheetId="2">[1]Dados!$I$10</definedName>
    <definedName name="E_Mínimo">Dados!$I$10</definedName>
    <definedName name="Entrada_de_Energia">IF(OR(TipoSE="Nº 1",TipoSE="Nº 5",TipoSE="Nº 8"),Dados!Q1048539,IF(AND(TipoSE="Nº 2",Formulário!D1048575=13800,Formulário!A4=Dados!XEX1048541),Dados!Q1048540,Dados!Q1048539:Q1048540))</definedName>
    <definedName name="Grupo" localSheetId="2">[1]Formulário!$E$16</definedName>
    <definedName name="Grupo">Formulário!$E$16</definedName>
    <definedName name="Mensagem_Erro" localSheetId="2">[1]Conferencia!$D$2</definedName>
    <definedName name="Mensagem_Erro">Conferencia!$D$1</definedName>
    <definedName name="MudançaLocal" localSheetId="2">IF([1]Dados!$V$3=1,[1]Dados!$V$6,[1]Dados!$V$5:$V$6)</definedName>
    <definedName name="MudançaLocal">IF(Dados!$V$3=1,Dados!$V$6,Dados!$V$5:$V$6)</definedName>
    <definedName name="N_Máximo" localSheetId="2">[1]Dados!$L$10</definedName>
    <definedName name="N_Máximo">Dados!$L$10</definedName>
    <definedName name="N_Mínimo" localSheetId="2">[1]Dados!$K$10</definedName>
    <definedName name="N_Mínimo">Dados!$K$10</definedName>
    <definedName name="Outros_Trafos_Particulares">Dados!$T$4:$T$8</definedName>
    <definedName name="Pot_Ativa_Instalada" localSheetId="2">[1]Formulário!$AT$57</definedName>
    <definedName name="Pot_Ativa_Instalada">Formulário!$U$92</definedName>
    <definedName name="Ramal">Formulário!$Z$41</definedName>
    <definedName name="TblDisj" localSheetId="2">IF([1]Formulário!#REF!="Monopolar",[1]Apoio!$B$12:$B$15,IF([1]Formulário!#REF!="Bipolar",[1]Apoio!$B$16:$B$27,[1]Apoio!$B$28:$B$50))</definedName>
    <definedName name="TblDisj">IF(Formulário!#REF!="Monopolar",Apoio!$B$12:$B$15,IF(Formulário!#REF!="Bipolar",Apoio!$B$16:$B$27,Apoio!$B$28:$B$50))</definedName>
    <definedName name="TblDisj_1">Apoio!$B$12:$B$15</definedName>
    <definedName name="TblDisj_2" localSheetId="2">IF([1]Formulário!#REF!="Monopolar",[1]Apoio!$B$12:$B$15,IF([1]Formulário!#REF!="Bipolar",[1]Apoio!$B$16:$B$27,[1]Apoio!$B$28:$B$50))</definedName>
    <definedName name="TblDisj_2">IF(Formulário!#REF!="Monopolar",Apoio!$B$12:$B$15,IF(Formulário!#REF!="Bipolar",Apoio!$B$16:$B$27,Apoio!$B$28:$B$50))</definedName>
    <definedName name="TblDisj_3" localSheetId="2">IF([1]Formulário!#REF!="Bipolar",[1]Apoio!$B$59:$B$66,[1]Apoio!$B$67:$B$93)</definedName>
    <definedName name="TblDisj_3">IF(Formulário!#REF!="Bipolar",Apoio!$B$59:$B$66,Apoio!$B$67:$B$93)</definedName>
    <definedName name="TensãoA">Dados!$B$20:$B$22</definedName>
    <definedName name="TensãoB">Dados!$B$26:$B$27</definedName>
    <definedName name="TensãoGrupo" localSheetId="2">IF('Resp Seg Barragem'!Grupo="A",[1]Dados!$C$20:$C$22,[1]Dados!$C$20:$C$21)</definedName>
    <definedName name="TensãoGrupo">IF(Grupo="A",Dados!$C$20:$C$22,Dados!$C$20:$C$21)</definedName>
    <definedName name="TipoFonte" localSheetId="2">[1]Formulário!$L$57</definedName>
    <definedName name="TipoFonte">Formulário!$L$100</definedName>
    <definedName name="TipoFonte1">Formulário!$L$100</definedName>
    <definedName name="TipoFonte2">Formulário!$L$140</definedName>
    <definedName name="TipoRamal" localSheetId="2">[1]Dados!$B$30:$B$31</definedName>
    <definedName name="TipoRamal">Dados!$B$30:$B$31</definedName>
    <definedName name="Tipos_Edificações">Dados!$B$13:$B$16</definedName>
    <definedName name="Tipos_Lig_Trafos" localSheetId="2">[1]Dados!$B$34:$B$37</definedName>
    <definedName name="Tipos_Lig_Trafos">Dados!$B$34:$B$37</definedName>
    <definedName name="Tipos_Solicitação" localSheetId="2">IF('Resp Seg Barragem'!TipoSE = "Nº 1",[1]Dados!$B$4:$B$6,[1]Dados!$B$4:$B$7)</definedName>
    <definedName name="Tipos_Solicitação">IF(TipoSE = "Nº 1",Dados!$B$4:$B$6,Dados!$B$4:$B$7)</definedName>
    <definedName name="TipoSE" localSheetId="2">[1]Formulário!$O$33</definedName>
    <definedName name="TipoSE">Formulário!$O$33</definedName>
    <definedName name="_xlnm.Print_Titles" localSheetId="0">Formulário!$2:$6</definedName>
    <definedName name="TrafosPorSE" localSheetId="2">IF(OR('Resp Seg Barragem'!TipoSE="Nº 1",'Resp Seg Barragem'!TipoSE="Nº 5",'Resp Seg Barragem'!TipoSE="Nº 8"),[1]Dados!$P$5:$P$8,[1]Dados!$R$4:$R$7)</definedName>
    <definedName name="TrafosPorSE">IF(OR(TipoSE="Nº 1",TipoSE="Nº 5",TipoSE="Nº 8"),Dados!$P$5:$P$8,Dados!$R$4:$R$7)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55" i="1" l="1"/>
  <c r="C260" i="1"/>
  <c r="AG13" i="4"/>
  <c r="B7" i="4"/>
  <c r="C20" i="4"/>
  <c r="C22" i="4"/>
  <c r="C21" i="4"/>
  <c r="AL59" i="1"/>
  <c r="E247" i="1" l="1"/>
  <c r="AC48" i="1"/>
  <c r="B33" i="3"/>
  <c r="AH57" i="1"/>
  <c r="B50" i="1"/>
  <c r="B48" i="1"/>
  <c r="AI43" i="1"/>
  <c r="Y19" i="4" a="1"/>
  <c r="Y19" i="4" s="1"/>
  <c r="Y9" i="4"/>
  <c r="Y10" i="4"/>
  <c r="D25" i="3"/>
  <c r="B34" i="11" l="1"/>
  <c r="B10" i="11"/>
  <c r="K33" i="11" l="1"/>
  <c r="K32" i="11"/>
  <c r="D33" i="11"/>
  <c r="D32" i="11"/>
  <c r="F29" i="11"/>
  <c r="I36" i="11" s="1"/>
  <c r="AC50" i="1"/>
  <c r="F20" i="11"/>
  <c r="B16" i="11" s="1"/>
  <c r="D15" i="11"/>
  <c r="D14" i="11"/>
  <c r="B40" i="11" l="1"/>
  <c r="B51" i="4" l="1"/>
  <c r="AR92" i="1"/>
  <c r="AF92" i="1"/>
  <c r="B165" i="1"/>
  <c r="B163" i="1"/>
  <c r="B161" i="1"/>
  <c r="B159" i="1"/>
  <c r="B157" i="1"/>
  <c r="B155" i="1"/>
  <c r="B153" i="1"/>
  <c r="B151" i="1"/>
  <c r="B149" i="1"/>
  <c r="B144" i="1"/>
  <c r="C147" i="1"/>
  <c r="B341" i="1"/>
  <c r="B104" i="1"/>
  <c r="B195" i="1"/>
  <c r="B193" i="1"/>
  <c r="B191" i="1"/>
  <c r="B189" i="1"/>
  <c r="B187" i="1"/>
  <c r="B185" i="1"/>
  <c r="AB183" i="1"/>
  <c r="E183" i="1"/>
  <c r="B181" i="1"/>
  <c r="B32" i="11" l="1"/>
  <c r="B36" i="11" s="1"/>
  <c r="B38" i="11" s="1"/>
  <c r="B42" i="11" s="1"/>
  <c r="U92" i="1"/>
  <c r="B8" i="11" s="1"/>
  <c r="B12" i="11" s="1"/>
  <c r="I32" i="11"/>
  <c r="I34" i="11"/>
  <c r="AQ304" i="1"/>
  <c r="AQ305" i="1"/>
  <c r="AQ306" i="1"/>
  <c r="AQ307" i="1"/>
  <c r="AQ308" i="1"/>
  <c r="AQ309" i="1"/>
  <c r="AQ310" i="1"/>
  <c r="AQ311" i="1"/>
  <c r="AQ312" i="1"/>
  <c r="AQ313" i="1"/>
  <c r="AQ314" i="1"/>
  <c r="AQ315" i="1"/>
  <c r="AQ316" i="1"/>
  <c r="AQ317" i="1"/>
  <c r="AQ318" i="1"/>
  <c r="AQ319" i="1"/>
  <c r="AQ320" i="1"/>
  <c r="AQ321" i="1"/>
  <c r="AQ322" i="1"/>
  <c r="AQ323" i="1"/>
  <c r="AQ324" i="1"/>
  <c r="AQ325" i="1"/>
  <c r="AQ326" i="1"/>
  <c r="AQ327" i="1"/>
  <c r="AQ328" i="1"/>
  <c r="AQ329" i="1"/>
  <c r="AQ330" i="1"/>
  <c r="AQ331" i="1"/>
  <c r="AQ332" i="1"/>
  <c r="AQ303" i="1"/>
  <c r="B123" i="1"/>
  <c r="B121" i="1"/>
  <c r="I38" i="11" l="1"/>
  <c r="B14" i="11"/>
  <c r="B18" i="11" s="1"/>
  <c r="M205" i="1" s="1"/>
  <c r="AQ333" i="1"/>
  <c r="P38" i="11" l="1"/>
  <c r="B25" i="3"/>
  <c r="B43" i="3" l="1"/>
  <c r="B42" i="3"/>
  <c r="B41" i="3"/>
  <c r="B40" i="3"/>
  <c r="B39" i="3"/>
  <c r="A40" i="3"/>
  <c r="A39" i="3"/>
  <c r="A41" i="3"/>
  <c r="A42" i="3"/>
  <c r="A43" i="3"/>
  <c r="A46" i="3"/>
  <c r="B46" i="3" s="1"/>
  <c r="A45" i="3"/>
  <c r="B45" i="3" s="1"/>
  <c r="B119" i="1"/>
  <c r="B111" i="1"/>
  <c r="K2" i="2"/>
  <c r="I2" i="2"/>
  <c r="H2" i="2"/>
  <c r="L3" i="2" s="1"/>
  <c r="B52" i="3"/>
  <c r="B48" i="3"/>
  <c r="B12" i="3"/>
  <c r="U53" i="1"/>
  <c r="B35" i="1"/>
  <c r="H3" i="2" l="1"/>
  <c r="I3" i="2"/>
  <c r="J3" i="2"/>
  <c r="K3" i="2"/>
  <c r="K4" i="2" s="1"/>
  <c r="AG29" i="1" s="1"/>
  <c r="B27" i="3"/>
  <c r="B24" i="3"/>
  <c r="B23" i="3"/>
  <c r="E9" i="3"/>
  <c r="D24" i="3"/>
  <c r="D23" i="3"/>
  <c r="B32" i="3" s="1"/>
  <c r="V3" i="4"/>
  <c r="D22" i="3"/>
  <c r="D21" i="3"/>
  <c r="E29" i="3" s="1"/>
  <c r="B49" i="3"/>
  <c r="B47" i="3"/>
  <c r="D13" i="4"/>
  <c r="B28" i="3" s="1"/>
  <c r="D14" i="4"/>
  <c r="U43" i="1" s="1"/>
  <c r="B54" i="3"/>
  <c r="B34" i="3"/>
  <c r="E28" i="3" l="1"/>
  <c r="E6" i="3" s="1"/>
  <c r="I4" i="2"/>
  <c r="B18" i="3"/>
  <c r="B22" i="3"/>
  <c r="B21" i="3"/>
  <c r="B20" i="3"/>
  <c r="B19" i="3"/>
  <c r="A18" i="3"/>
  <c r="D9" i="3"/>
  <c r="B53" i="3"/>
  <c r="B51" i="3"/>
  <c r="A44" i="3"/>
  <c r="B44" i="3" s="1"/>
  <c r="A38" i="3"/>
  <c r="B125" i="1"/>
  <c r="B113" i="1"/>
  <c r="B117" i="1"/>
  <c r="B115" i="1"/>
  <c r="B38" i="3"/>
  <c r="B109" i="1"/>
  <c r="B50" i="3"/>
  <c r="B37" i="3"/>
  <c r="I18" i="4" a="1"/>
  <c r="I18" i="4" s="1"/>
  <c r="B17" i="3"/>
  <c r="C28" i="4"/>
  <c r="C30" i="4" s="1"/>
  <c r="H10" i="4"/>
  <c r="L10" i="4" s="1"/>
  <c r="D20" i="3" l="1"/>
  <c r="E10" i="3" s="1"/>
  <c r="D10" i="3" s="1"/>
  <c r="E8" i="3"/>
  <c r="D8" i="3" s="1"/>
  <c r="J10" i="4"/>
  <c r="K10" i="4"/>
  <c r="I10" i="4"/>
  <c r="C31" i="4"/>
  <c r="D7" i="4"/>
  <c r="D6" i="4"/>
  <c r="D5" i="4"/>
  <c r="D4" i="4"/>
  <c r="B53" i="1" l="1"/>
  <c r="B30" i="3"/>
  <c r="C107" i="1"/>
  <c r="E5" i="3"/>
  <c r="D5" i="3" s="1"/>
  <c r="D18" i="3"/>
  <c r="E7" i="3" s="1"/>
  <c r="D7" i="3" s="1"/>
  <c r="D6" i="3"/>
  <c r="B1" i="3"/>
  <c r="C18" i="4"/>
  <c r="C5" i="4"/>
  <c r="C6" i="4"/>
  <c r="C7" i="4"/>
  <c r="C4" i="4"/>
  <c r="B35" i="3" l="1"/>
  <c r="B26" i="3"/>
  <c r="B29" i="3"/>
  <c r="B16" i="3"/>
  <c r="B15" i="3"/>
  <c r="Y29" i="1" s="1"/>
  <c r="B14" i="3"/>
  <c r="B13" i="3"/>
  <c r="B11" i="3"/>
  <c r="B10" i="3"/>
  <c r="B9" i="3"/>
  <c r="B8" i="3"/>
  <c r="B7" i="3"/>
  <c r="B6" i="3"/>
  <c r="B5" i="3"/>
  <c r="B4" i="3"/>
  <c r="B3" i="3"/>
  <c r="B2" i="3"/>
  <c r="E4" i="3" l="1"/>
  <c r="D4" i="3" s="1"/>
  <c r="D1" i="3" s="1"/>
  <c r="B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<sst xmlns="http://schemas.openxmlformats.org/spreadsheetml/2006/main" count="752" uniqueCount="554">
  <si>
    <t>1 – IDENTIFICAÇÃO DA UNIDADE CONSUMIDORA – UC</t>
  </si>
  <si>
    <t>Telefone:</t>
  </si>
  <si>
    <t>2 – DADOS DA UNIDADE CONSUMIDORA</t>
  </si>
  <si>
    <t>Fuso:</t>
  </si>
  <si>
    <t>E (Abscissa):</t>
  </si>
  <si>
    <t>N (Ordenada):</t>
  </si>
  <si>
    <t>Número da instalação:</t>
  </si>
  <si>
    <t>Ligação de Nova Unidade Consumidora COM Geração Distribuída</t>
  </si>
  <si>
    <t>Potência do Grupo Motor Gerador de Emergência em Paralelo com a Cemig - Diesel ou Gás (kVA):</t>
  </si>
  <si>
    <t>Tensão de Atendimento (V):</t>
  </si>
  <si>
    <t>Modalidade de compensação:</t>
  </si>
  <si>
    <t>Preencha o quadro a seguir somente se a usina possuiu OUTORGA OU REGISTRO. Se não aplicável, mantenha os campos vazios.</t>
  </si>
  <si>
    <r>
      <t>CPF/CNPJ</t>
    </r>
    <r>
      <rPr>
        <sz val="11"/>
        <color indexed="10"/>
        <rFont val="Calibri"/>
        <family val="2"/>
      </rPr>
      <t>*</t>
    </r>
    <r>
      <rPr>
        <sz val="11"/>
        <color theme="1"/>
        <rFont val="Calibri"/>
        <family val="2"/>
        <scheme val="minor"/>
      </rPr>
      <t>:</t>
    </r>
  </si>
  <si>
    <r>
      <t>Grupo</t>
    </r>
    <r>
      <rPr>
        <sz val="11"/>
        <color indexed="10"/>
        <rFont val="Calibri"/>
        <family val="2"/>
      </rPr>
      <t>*</t>
    </r>
    <r>
      <rPr>
        <sz val="11"/>
        <color theme="1"/>
        <rFont val="Calibri"/>
        <family val="2"/>
        <scheme val="minor"/>
      </rPr>
      <t>:</t>
    </r>
  </si>
  <si>
    <r>
      <t>Logradouro</t>
    </r>
    <r>
      <rPr>
        <sz val="11"/>
        <color indexed="10"/>
        <rFont val="Calibri"/>
        <family val="2"/>
      </rPr>
      <t>*</t>
    </r>
    <r>
      <rPr>
        <sz val="11"/>
        <color theme="1"/>
        <rFont val="Calibri"/>
        <family val="2"/>
        <scheme val="minor"/>
      </rPr>
      <t>:</t>
    </r>
  </si>
  <si>
    <r>
      <t>Classe</t>
    </r>
    <r>
      <rPr>
        <sz val="11"/>
        <color indexed="10"/>
        <rFont val="Calibri"/>
        <family val="2"/>
      </rPr>
      <t>*</t>
    </r>
    <r>
      <rPr>
        <sz val="11"/>
        <color theme="1"/>
        <rFont val="Calibri"/>
        <family val="2"/>
        <scheme val="minor"/>
      </rPr>
      <t>:</t>
    </r>
  </si>
  <si>
    <r>
      <t>Número</t>
    </r>
    <r>
      <rPr>
        <sz val="11"/>
        <color indexed="10"/>
        <rFont val="Calibri"/>
        <family val="2"/>
      </rPr>
      <t>*</t>
    </r>
    <r>
      <rPr>
        <sz val="11"/>
        <color theme="1"/>
        <rFont val="Calibri"/>
        <family val="2"/>
        <scheme val="minor"/>
      </rPr>
      <t>:</t>
    </r>
  </si>
  <si>
    <r>
      <t>Estado</t>
    </r>
    <r>
      <rPr>
        <sz val="11"/>
        <color indexed="10"/>
        <rFont val="Calibri"/>
        <family val="2"/>
      </rPr>
      <t>*</t>
    </r>
    <r>
      <rPr>
        <sz val="11"/>
        <color theme="1"/>
        <rFont val="Calibri"/>
        <family val="2"/>
        <scheme val="minor"/>
      </rPr>
      <t>:</t>
    </r>
  </si>
  <si>
    <r>
      <t>CEP</t>
    </r>
    <r>
      <rPr>
        <sz val="11"/>
        <color indexed="10"/>
        <rFont val="Calibri"/>
        <family val="2"/>
      </rPr>
      <t>*</t>
    </r>
    <r>
      <rPr>
        <sz val="11"/>
        <color theme="1"/>
        <rFont val="Calibri"/>
        <family val="2"/>
        <scheme val="minor"/>
      </rPr>
      <t>:</t>
    </r>
  </si>
  <si>
    <r>
      <t>Município</t>
    </r>
    <r>
      <rPr>
        <sz val="11"/>
        <color indexed="10"/>
        <rFont val="Calibri"/>
        <family val="2"/>
      </rPr>
      <t>*</t>
    </r>
    <r>
      <rPr>
        <sz val="11"/>
        <color theme="1"/>
        <rFont val="Calibri"/>
        <family val="2"/>
        <scheme val="minor"/>
      </rPr>
      <t>:</t>
    </r>
  </si>
  <si>
    <r>
      <t>Bairro</t>
    </r>
    <r>
      <rPr>
        <sz val="11"/>
        <color indexed="10"/>
        <rFont val="Calibri"/>
        <family val="2"/>
      </rPr>
      <t>*</t>
    </r>
    <r>
      <rPr>
        <sz val="11"/>
        <color theme="1"/>
        <rFont val="Calibri"/>
        <family val="2"/>
        <scheme val="minor"/>
      </rPr>
      <t>:</t>
    </r>
  </si>
  <si>
    <t>Tipo de Subestação (Conforme ND 5.3):</t>
  </si>
  <si>
    <t>A</t>
  </si>
  <si>
    <t>CEG do empreendimento:</t>
  </si>
  <si>
    <t>Nome da Usina:</t>
  </si>
  <si>
    <t>Número do Ato de Outorga ou Registro:</t>
  </si>
  <si>
    <t>Ano do Ato de Outorga ou Registro:</t>
  </si>
  <si>
    <t>Tipo do Ato de Outorga ou Registro:</t>
  </si>
  <si>
    <t>Tipo de Solicitação</t>
  </si>
  <si>
    <t>Fuso</t>
  </si>
  <si>
    <t>E (Abscissa) Min</t>
  </si>
  <si>
    <t>E (Abscissa) Max</t>
  </si>
  <si>
    <t>N (Ordenada) Min</t>
  </si>
  <si>
    <t>N (Ordenada) Max</t>
  </si>
  <si>
    <t>Potência Ativa Instalada Total de Geração da Usina (kW):</t>
  </si>
  <si>
    <t>Grupo</t>
  </si>
  <si>
    <t>Classe</t>
  </si>
  <si>
    <t>CPF/CNPJ</t>
  </si>
  <si>
    <t>Logradouro</t>
  </si>
  <si>
    <t>Número</t>
  </si>
  <si>
    <r>
      <t>Complemento</t>
    </r>
    <r>
      <rPr>
        <sz val="11"/>
        <color theme="1"/>
        <rFont val="Calibri"/>
        <family val="2"/>
        <scheme val="minor"/>
      </rPr>
      <t>:</t>
    </r>
  </si>
  <si>
    <t>Bairro</t>
  </si>
  <si>
    <t>Municipio</t>
  </si>
  <si>
    <t>Estado</t>
  </si>
  <si>
    <t>CEP</t>
  </si>
  <si>
    <t>e-mail</t>
  </si>
  <si>
    <t>Número da Instalação</t>
  </si>
  <si>
    <r>
      <t>Titular da Unidade Consumidora</t>
    </r>
    <r>
      <rPr>
        <sz val="11"/>
        <color indexed="10"/>
        <rFont val="Calibri"/>
        <family val="2"/>
      </rPr>
      <t>*</t>
    </r>
    <r>
      <rPr>
        <sz val="11"/>
        <color theme="1"/>
        <rFont val="Calibri"/>
        <family val="2"/>
        <scheme val="minor"/>
      </rPr>
      <t>:</t>
    </r>
  </si>
  <si>
    <t>Titular da Unidade Consumidora</t>
  </si>
  <si>
    <t>E (Abscissa)</t>
  </si>
  <si>
    <t>N (Ordenada)</t>
  </si>
  <si>
    <t>Carga Instalada (consumo próprio) (kW)</t>
  </si>
  <si>
    <t>Tipo de Solicitação:</t>
  </si>
  <si>
    <t>Tensão de Atendimento (V)</t>
  </si>
  <si>
    <t>Tipo de Fonte de Geração</t>
  </si>
  <si>
    <t>Modalidade de compensação</t>
  </si>
  <si>
    <t>Potência Ativa Instalada Total de Geração da Usina (kW)</t>
  </si>
  <si>
    <t>Qtde. de Instalações a receber o crédito:</t>
  </si>
  <si>
    <t>Qtde. de Instalações a receber o crédito</t>
  </si>
  <si>
    <t>Tipo de Subestação (Conforme ND 5.3)</t>
  </si>
  <si>
    <t>Tipo de Ramal</t>
  </si>
  <si>
    <t>Bipolar</t>
  </si>
  <si>
    <t>Tripolar</t>
  </si>
  <si>
    <t>Aéreo</t>
  </si>
  <si>
    <r>
      <t>E-mail</t>
    </r>
    <r>
      <rPr>
        <sz val="11"/>
        <color indexed="10"/>
        <rFont val="Calibri"/>
        <family val="2"/>
      </rPr>
      <t>*</t>
    </r>
    <r>
      <rPr>
        <sz val="11"/>
        <color theme="1"/>
        <rFont val="Calibri"/>
        <family val="2"/>
        <scheme val="minor"/>
      </rPr>
      <t>:</t>
    </r>
  </si>
  <si>
    <t>Tabela Disjuntores</t>
  </si>
  <si>
    <t>Disjuntor</t>
  </si>
  <si>
    <t>Limite máximo para injeção(kW)</t>
  </si>
  <si>
    <t>Tipo</t>
  </si>
  <si>
    <t>Corrente (A)</t>
  </si>
  <si>
    <t>Monopolar</t>
  </si>
  <si>
    <t>Tipos Solicitações</t>
  </si>
  <si>
    <t>Tensão Grupo A</t>
  </si>
  <si>
    <t>Tensão Grupo B</t>
  </si>
  <si>
    <t>127/220</t>
  </si>
  <si>
    <t>120/240</t>
  </si>
  <si>
    <t>Tensão Grupo</t>
  </si>
  <si>
    <t>Subterrâneo</t>
  </si>
  <si>
    <t>TipoRamal</t>
  </si>
  <si>
    <t>Cod_Solicitação</t>
  </si>
  <si>
    <t>Cod_Edificação</t>
  </si>
  <si>
    <t>Monopolar40</t>
  </si>
  <si>
    <t>Monopolar50</t>
  </si>
  <si>
    <t>Monopolar63</t>
  </si>
  <si>
    <t>Monopolar70</t>
  </si>
  <si>
    <t>Bipolar40</t>
  </si>
  <si>
    <t>Bipolar50</t>
  </si>
  <si>
    <t>Bipolar60</t>
  </si>
  <si>
    <t>Bipolar63</t>
  </si>
  <si>
    <t>Bipolar70</t>
  </si>
  <si>
    <t>Bipolar80</t>
  </si>
  <si>
    <t>Bipolar90</t>
  </si>
  <si>
    <t>Bipolar100</t>
  </si>
  <si>
    <t>Bipolar120</t>
  </si>
  <si>
    <t>Bipolar125</t>
  </si>
  <si>
    <t>Bipolar150</t>
  </si>
  <si>
    <t>Bipolar200</t>
  </si>
  <si>
    <t>Tripolar40</t>
  </si>
  <si>
    <t>Tripolar60</t>
  </si>
  <si>
    <t>Tripolar63</t>
  </si>
  <si>
    <t>Tripolar70</t>
  </si>
  <si>
    <t>Tripolar80</t>
  </si>
  <si>
    <t>Tripolar100</t>
  </si>
  <si>
    <t>Tripolar120</t>
  </si>
  <si>
    <t>Tripolar125</t>
  </si>
  <si>
    <t>Tripolar150</t>
  </si>
  <si>
    <t>Tripolar175</t>
  </si>
  <si>
    <t>Tripolar200</t>
  </si>
  <si>
    <t>Tripolar225</t>
  </si>
  <si>
    <t>Tripolar250</t>
  </si>
  <si>
    <t>Tripolar300</t>
  </si>
  <si>
    <t>Tripolar315</t>
  </si>
  <si>
    <t>Tripolar320</t>
  </si>
  <si>
    <t>Tripolar400</t>
  </si>
  <si>
    <t>Tripolar450</t>
  </si>
  <si>
    <t>Tripolar500</t>
  </si>
  <si>
    <t>Tripolar600</t>
  </si>
  <si>
    <t>Tripolar630</t>
  </si>
  <si>
    <t>Tripolar700</t>
  </si>
  <si>
    <t>Tripolar800</t>
  </si>
  <si>
    <t xml:space="preserve">Endereço: </t>
  </si>
  <si>
    <t>Av. Barbacena, 1200, Santo Agostinho, CEP 30190-131, BH - MG</t>
  </si>
  <si>
    <t>Gerência de Processos Especiais da Expansão de Média e Baixa Tensão - EM/PE</t>
  </si>
  <si>
    <t xml:space="preserve">Responsável / Área: </t>
  </si>
  <si>
    <t>Telefone: 0800 721 0167</t>
  </si>
  <si>
    <t>E-mail: geracaodistribuida@cemig.com.br</t>
  </si>
  <si>
    <t>Assinatura do Cliente/Responsável Legal:</t>
  </si>
  <si>
    <t>retidada validação</t>
  </si>
  <si>
    <t>E_Mínimo</t>
  </si>
  <si>
    <t>E_Máximo</t>
  </si>
  <si>
    <t>N_Mínimo</t>
  </si>
  <si>
    <t>N_Máximo</t>
  </si>
  <si>
    <t>Fuso_Escolhido</t>
  </si>
  <si>
    <t>Sim</t>
  </si>
  <si>
    <t>SE</t>
  </si>
  <si>
    <t>Potência Transformador</t>
  </si>
  <si>
    <t>Nº 1</t>
  </si>
  <si>
    <t>Nº 5</t>
  </si>
  <si>
    <t>Nº 8</t>
  </si>
  <si>
    <t>Outros Trafos Particulares</t>
  </si>
  <si>
    <t>Qte Potências</t>
  </si>
  <si>
    <t>Qte</t>
  </si>
  <si>
    <t>Potência</t>
  </si>
  <si>
    <t>è</t>
  </si>
  <si>
    <r>
      <t>Nota</t>
    </r>
    <r>
      <rPr>
        <vertAlign val="superscript"/>
        <sz val="11"/>
        <color theme="1"/>
        <rFont val="Calibri"/>
        <family val="2"/>
        <scheme val="minor"/>
      </rPr>
      <t>1</t>
    </r>
    <r>
      <rPr>
        <sz val="11"/>
        <color theme="1"/>
        <rFont val="Calibri"/>
        <family val="2"/>
        <scheme val="minor"/>
      </rPr>
      <t>: Os Técnicos em Eletrotécnica poderão projetar e dirigir instalações com potência até 800 kVA (Decreto nº 90.922/85)</t>
    </r>
  </si>
  <si>
    <t>Notas Explicativas:</t>
  </si>
  <si>
    <t>As informações contidas neste Formulário de Solicitação de Acesso devem estar em conformidade com o Diagrama Unifilar Básico e o Memorial Descritivo enviados à Cemig.</t>
  </si>
  <si>
    <t>2 - Grupo e Subgrupo: Informe o código de subgrupo aplicável conforme o nível de tensão para o grupo A ou finalidade para o grupo B.</t>
  </si>
  <si>
    <t>Grupo A - grupamento composto de unidades consumidoras com fornecimento em tensão igual ou superior a 2,3 kV</t>
  </si>
  <si>
    <t>Subgrupo</t>
  </si>
  <si>
    <t>Nível de Tensão</t>
  </si>
  <si>
    <t>Finalidade</t>
  </si>
  <si>
    <t>A1</t>
  </si>
  <si>
    <t>Igual ou superior a 230 kV</t>
  </si>
  <si>
    <t>B1</t>
  </si>
  <si>
    <t>Residencial</t>
  </si>
  <si>
    <t>A2</t>
  </si>
  <si>
    <t>88 kV a 138 kV</t>
  </si>
  <si>
    <t>B2</t>
  </si>
  <si>
    <t>Rural</t>
  </si>
  <si>
    <t>A3</t>
  </si>
  <si>
    <t>69 kV</t>
  </si>
  <si>
    <t>B3</t>
  </si>
  <si>
    <t>Industrial</t>
  </si>
  <si>
    <t>A3a</t>
  </si>
  <si>
    <t>30 kV a 44 kV</t>
  </si>
  <si>
    <t>Demais Classes</t>
  </si>
  <si>
    <t>A4</t>
  </si>
  <si>
    <t>2,3 kV a 25 kV</t>
  </si>
  <si>
    <t>B4</t>
  </si>
  <si>
    <t>Iluminação Pública</t>
  </si>
  <si>
    <t>Site para conversão de coordenadas geográficas: http://www.dpi.inpe.br/calcula/. Selecione o Datum: SIRGAS2000.</t>
  </si>
  <si>
    <t>As subestações tipo Nº 5 e Nº 8 somente são aplicáveis para potências de transformação até 300 kVA e não podem ser de uso compartilhado.</t>
  </si>
  <si>
    <t>De acordo com as definições contidas nas ND’s 5.1 e 5.2:</t>
  </si>
  <si>
    <t>De acordo com o item 3.2.2 da ND 5.30: “Conexão de microgeração particular em unidade consumidora pertencente ao empreendimento, para uso e benefício próprio desta única unidade consumidora, não envolvendo outras unidades do empreendimento: Nesta modalidade, deverá ser comprovada a propriedade do imóvel que abriga a unidade consumidora e as instalações de geração. Quando se tratar de empreendimentos com condomínio formalizado, e caso haja a utilização de áreas de uso comum para abrigar as instalações de geração, deverá ser comprovada a autorização do condomínio para utilização da área comum. Poderá ser utilizada a própria caixa de medição já existente na unidade consumidora, desde que esteja em bom estado de conservação e condições de segurança adequadas.”</t>
  </si>
  <si>
    <t>“Para os casos de aluguel, cessão ou arrendamento de áreas, telhados ou estruturas para instalação de microgeração em edificações coletivas e agrupamentos, deverá ser criada unidade consumidora adicional para conexão da central geradora e deverá ser comprovado o direito de posse do terreno, telhado ou estrutura pelo proprietário da usina. O titular da nova unidade consumidora com GD deverá ser o proprietário da usina”.</t>
  </si>
  <si>
    <t>• Edificações de uso coletivo (telhado coletivo ou em área comum do condomínio): Comprovação de posse do proprietário do imóvel e autorização do condomínio.</t>
  </si>
  <si>
    <t>• Edificações de uso coletivo (telhado independente e privativo): Comprovação de posse do proprietário do imóvel.</t>
  </si>
  <si>
    <t>• Agrupamentos: Comprovação de posse do proprietário do imóvel.</t>
  </si>
  <si>
    <t>• Aluguel, cessão ou arrendamento de áreas, telhados ou estruturas: Comprovação do direito de posse do terreno, telhado ou estrutura pelo proprietário da usina. Nestes casos será necessário criar uma unidade consumidora exclusiva para a microgeração, devendo ser provida caixa de medição adicional para abrigar o medidor bidirecional. Ao protocolar a solicitação de acesso, deve ser informado que se trata de uma ligação nova e devem ser atendidas as normas técnicas referentes a edificações coletivas (ND 5.2).</t>
  </si>
  <si>
    <t>ATENÇÃO: Por potência disponibilizada (Seção 1.1, Módulo 1, da Resolução Normativa nº 956/2021), considera-se a potência que o sistema elétrico da distribuidora deve dispor para atender aos equipamentos elétricos e instalações do usuário, calculada da seguinte forma:</t>
  </si>
  <si>
    <t>ATENÇÃO: O usuário deve atentar-se ao disposto no Art. 353 da Resolução Normativa ANEEL nº 1000/2021:</t>
  </si>
  <si>
    <t>Art. 353. A distribuidora deve suspender imediatamente o fornecimento de energia elétrica quando for constatada deficiência técnica ou de segurança nas instalações do consumidor e demais usuários, que caracterize risco iminente de danos a pessoas, bens ou ao funcionamento do sistema elétrico.</t>
  </si>
  <si>
    <t>(...)</t>
  </si>
  <si>
    <t>II - o aumento da geração instalada sem consulta à distribuidora, em qualquer hipótese</t>
  </si>
  <si>
    <t>Potência Total Módulos (kWp): Informe a potência elétrica total, em kWp, obtida a partir do efeito fotovoltaico, somando todos os módulos agrupados em arranjos.</t>
  </si>
  <si>
    <t>Potência Total Inversores (kW): Informe a potência nominal elétrica total, em kW, somando todas as saídas dos inversores, respeitadas limitações de potência decorrentes dos módulos, do controle de potência do inversor ou de outras restrições técnicas.</t>
  </si>
  <si>
    <t>3 - Classe: Informe a classificação da unidade consumidora em Residencial, Industrial, Comercial, Rural, Poder Público, Iluminação Pública ou Serviço Público.</t>
  </si>
  <si>
    <t>5 - Haverá Mudança de Local do Padrão de Entrada: Informe se haverá mudança de local do padrão de entrada de energia. Na planta de situação anexada indique o novo local da medição considerando as coordenadas informadas na seção “2 – Dados da Unidade Consumidora” deste formulário e os critérios permitidos nas normas técnicas da Cemig.</t>
  </si>
  <si>
    <t xml:space="preserve">  </t>
  </si>
  <si>
    <r>
      <rPr>
        <b/>
        <sz val="11"/>
        <color theme="1"/>
        <rFont val="Calibri"/>
        <family val="2"/>
        <scheme val="minor"/>
      </rPr>
      <t>Conexão de GD em Unidade Consumidora Existente COM Alteração de Potência Disponibilizada</t>
    </r>
    <r>
      <rPr>
        <sz val="11"/>
        <color theme="1"/>
        <rFont val="Calibri"/>
        <family val="2"/>
        <scheme val="minor"/>
      </rPr>
      <t>: no caso de solicitações de conexão de geração distribuída em unidade consumidora existente com alteração de potência disponibilizada, também deve ser informada a capacidade em amperes do novo disjuntor que está sendo solicitado para atendimento individual à instalação. Para unidades consumidoras do grupo B deverá também ser anexado, no APR Web, o Formulário de Análise de Carga específico para unidades individuais ou de atendimento coletivo.</t>
    </r>
  </si>
  <si>
    <r>
      <rPr>
        <b/>
        <sz val="11"/>
        <color theme="1"/>
        <rFont val="Calibri"/>
        <family val="2"/>
        <scheme val="minor"/>
      </rPr>
      <t>Conexão de GD em Unidade Consumidora Existente SEM Alteração de Potência Disponibilizada</t>
    </r>
    <r>
      <rPr>
        <sz val="11"/>
        <color theme="1"/>
        <rFont val="Calibri"/>
        <family val="2"/>
        <scheme val="minor"/>
      </rPr>
      <t>: trata-se de conexão de GD em unidade consumidora do grupo B (que não precisará alterar o disjuntor existente) ou do grupo A (que não precisará alterar o contrato de demanda - CUSD).</t>
    </r>
  </si>
  <si>
    <r>
      <rPr>
        <b/>
        <sz val="11"/>
        <color theme="1"/>
        <rFont val="Calibri"/>
        <family val="2"/>
        <scheme val="minor"/>
      </rPr>
      <t>Ligação de Nova Unidade Consumidora COM Geração Distribuída</t>
    </r>
    <r>
      <rPr>
        <sz val="11"/>
        <color theme="1"/>
        <rFont val="Calibri"/>
        <family val="2"/>
        <scheme val="minor"/>
      </rPr>
      <t>: as ligações de novas unidades consumidoras são as que podem ser caracterizadas por pontos de conexão ainda não atendidos pela concessionária. Para novas unidades consumidoras do grupo B deverá também ser anexado, no APR Web, o Formulário de Ligação Nova.</t>
    </r>
  </si>
  <si>
    <t>§ 1º Enquadram-se no caput:</t>
  </si>
  <si>
    <r>
      <rPr>
        <b/>
        <sz val="11"/>
        <color theme="1"/>
        <rFont val="Calibri"/>
        <family val="2"/>
        <scheme val="minor"/>
      </rPr>
      <t>Edificação Individual</t>
    </r>
    <r>
      <rPr>
        <sz val="11"/>
        <color theme="1"/>
        <rFont val="Calibri"/>
        <family val="2"/>
        <scheme val="minor"/>
      </rPr>
      <t>: É toda e qualquer construção, reconhecida pelos poderes públicos, contendo uma única unidade consumidora.</t>
    </r>
  </si>
  <si>
    <r>
      <rPr>
        <b/>
        <sz val="11"/>
        <color theme="1"/>
        <rFont val="Calibri"/>
        <family val="2"/>
        <scheme val="minor"/>
      </rPr>
      <t>Edificações de Uso Coletivo</t>
    </r>
    <r>
      <rPr>
        <sz val="11"/>
        <color theme="1"/>
        <rFont val="Calibri"/>
        <family val="2"/>
        <scheme val="minor"/>
      </rPr>
      <t>: É toda e qualquer construção, reconhecida pelos poderes públicos, constituída por duas ou mais unidades consumidoras, cujas áreas comuns, com consumo de energia, sejam juridicamente de responsabilidade do condomínio.</t>
    </r>
  </si>
  <si>
    <r>
      <rPr>
        <b/>
        <sz val="11"/>
        <color theme="1"/>
        <rFont val="Calibri"/>
        <family val="2"/>
        <scheme val="minor"/>
      </rPr>
      <t>Edificações Agrupadas ou Agrupamentos</t>
    </r>
    <r>
      <rPr>
        <sz val="11"/>
        <color theme="1"/>
        <rFont val="Calibri"/>
        <family val="2"/>
        <scheme val="minor"/>
      </rPr>
      <t>: Conjunto de edificações, reconhecidas pelos poderes públicos, constituído por duas ou mais unidades consumidoras, construídas no mesmo terreno ou em terrenos distintos sem separação física entre eles e juridicamente demarcada pela prefeitura e com área de circulação comum às unidades, sem caracterizar condomínio.</t>
    </r>
  </si>
  <si>
    <t>a) unidade consumidora do grupo A: a demanda contratada, expressa em quilowatts (kW); 
b) unidade consumidora do grupo B: a resultante da multiplicação da capacidade nominal de condução de corrente elétrica do dispositivo de proteção geral da unidade consumidora pela tensão nominal, observado o fator específico referente ao número de fases, expressa em quilovolt-ampère (kVA). Verifique as tabelas nas normas técnicas da Cemig.</t>
  </si>
  <si>
    <r>
      <rPr>
        <b/>
        <u/>
        <sz val="11"/>
        <color theme="1"/>
        <rFont val="Calibri"/>
        <family val="2"/>
        <scheme val="minor"/>
      </rPr>
      <t>Diante do exposto acima, será necessário apresentar documentação específica nos seguintes casos</t>
    </r>
    <r>
      <rPr>
        <sz val="11"/>
        <color theme="1"/>
        <rFont val="Calibri"/>
        <family val="2"/>
        <scheme val="minor"/>
      </rPr>
      <t>:</t>
    </r>
  </si>
  <si>
    <t>Observações:</t>
  </si>
  <si>
    <r>
      <t>Endereço de Correspondência</t>
    </r>
    <r>
      <rPr>
        <sz val="11"/>
        <color rgb="FFFF0000"/>
        <rFont val="Calibri"/>
        <family val="2"/>
        <scheme val="minor"/>
      </rPr>
      <t>*</t>
    </r>
    <r>
      <rPr>
        <sz val="11"/>
        <color theme="1"/>
        <rFont val="Calibri"/>
        <family val="2"/>
        <scheme val="minor"/>
      </rPr>
      <t>:</t>
    </r>
  </si>
  <si>
    <t>Nome do Consumidor ou Procurador Legal</t>
  </si>
  <si>
    <r>
      <t>Nome do Consumidor ou Procurador Legal</t>
    </r>
    <r>
      <rPr>
        <sz val="11"/>
        <color rgb="FFFF0000"/>
        <rFont val="Calibri"/>
        <family val="2"/>
        <scheme val="minor"/>
      </rPr>
      <t>*</t>
    </r>
    <r>
      <rPr>
        <sz val="11"/>
        <color theme="1"/>
        <rFont val="Calibri"/>
        <family val="2"/>
        <scheme val="minor"/>
      </rPr>
      <t>:</t>
    </r>
  </si>
  <si>
    <t>Endereço de Correspondência</t>
  </si>
  <si>
    <t>Tabela Disjuntores Geral</t>
  </si>
  <si>
    <t>Valida o tipo de SE Nº 1 em ligação nova</t>
  </si>
  <si>
    <r>
      <t xml:space="preserve">O uso da subestação tipo Nº 1 foi descontinuado das normas Cemig, portanto </t>
    </r>
    <r>
      <rPr>
        <b/>
        <u/>
        <sz val="11"/>
        <color theme="1"/>
        <rFont val="Calibri"/>
        <family val="2"/>
        <scheme val="minor"/>
      </rPr>
      <t>NÃO</t>
    </r>
    <r>
      <rPr>
        <sz val="11"/>
        <color theme="1"/>
        <rFont val="Calibri"/>
        <family val="2"/>
        <scheme val="minor"/>
      </rPr>
      <t xml:space="preserve"> é permitida para ligação de novas Unidades Consumidoras usando esse padrão de construção</t>
    </r>
  </si>
  <si>
    <r>
      <t xml:space="preserve">    Local e data</t>
    </r>
    <r>
      <rPr>
        <b/>
        <sz val="11"/>
        <color rgb="FFFF0000"/>
        <rFont val="Calibri"/>
        <family val="2"/>
        <scheme val="minor"/>
      </rPr>
      <t>*</t>
    </r>
    <r>
      <rPr>
        <sz val="11"/>
        <color theme="1"/>
        <rFont val="Calibri"/>
        <family val="2"/>
        <scheme val="minor"/>
      </rPr>
      <t>:</t>
    </r>
  </si>
  <si>
    <t>Local e data</t>
  </si>
  <si>
    <t>Sinaliza tipo de SE</t>
  </si>
  <si>
    <t>Não</t>
  </si>
  <si>
    <t>FORMULÁRIO DE SOLICITAÇÃO DE ACESSO PARA MINIGERAÇÃO DISTRIBUÍDA 
(POTÊNCIA SUPERIOR A 75kW ATÉ 5000kW)</t>
  </si>
  <si>
    <t>Valida a potência dos trafos em relação à demanda</t>
  </si>
  <si>
    <t>Tipo de Ligação do Transformador</t>
  </si>
  <si>
    <t>Entrada de Energia:</t>
  </si>
  <si>
    <t>Entrada de Energia</t>
  </si>
  <si>
    <t xml:space="preserve">Subestação Individual </t>
  </si>
  <si>
    <t xml:space="preserve">Subestação Compartilhada </t>
  </si>
  <si>
    <t>GD Existente COM Alteração de Potência Ativa Instalada Total de Geração</t>
  </si>
  <si>
    <t>Conexão de GD em Unidade Consumidora Existente COM Alteração de Demanda Contratada</t>
  </si>
  <si>
    <t>Conexão de GD em Unidade Consumidora Existente SEM Alteração de Demanda Contratada</t>
  </si>
  <si>
    <t>kVA</t>
  </si>
  <si>
    <r>
      <t>Nome do RT (Responsável Técnico)</t>
    </r>
    <r>
      <rPr>
        <sz val="11"/>
        <color rgb="FFFF0000"/>
        <rFont val="Calibri"/>
        <family val="2"/>
        <scheme val="minor"/>
      </rPr>
      <t>*</t>
    </r>
    <r>
      <rPr>
        <sz val="11"/>
        <color theme="1"/>
        <rFont val="Calibri"/>
        <family val="2"/>
        <scheme val="minor"/>
      </rPr>
      <t>:</t>
    </r>
  </si>
  <si>
    <t>Nome do RT (Responsável Técnico)</t>
  </si>
  <si>
    <t>Email (RT)</t>
  </si>
  <si>
    <t>E-mail (Consumidor)</t>
  </si>
  <si>
    <t>Identifica SE tipos Nº 2 ou Nº 4</t>
  </si>
  <si>
    <t>Identifica SE tipos Nº 1 ou Nº 5 ou Nº 8</t>
  </si>
  <si>
    <t>Indentifica SE tipo Nº 1</t>
  </si>
  <si>
    <t>Potências</t>
  </si>
  <si>
    <t>Potência Atual de Geração (kW)</t>
  </si>
  <si>
    <t>Qte e potência do(s) transformador(es)</t>
  </si>
  <si>
    <t>Impedância Percentual do Transformador</t>
  </si>
  <si>
    <t>Quantidade de Cubículos</t>
  </si>
  <si>
    <t>Haverá Mudança de Local da Subestação</t>
  </si>
  <si>
    <t>Tipo de Ligação do Transformador:</t>
  </si>
  <si>
    <t>Tipo_Lig_Trafos</t>
  </si>
  <si>
    <t>∆-Y</t>
  </si>
  <si>
    <t>∆-∆</t>
  </si>
  <si>
    <t>Y-∆</t>
  </si>
  <si>
    <t>Y-Y</t>
  </si>
  <si>
    <r>
      <t>Celular</t>
    </r>
    <r>
      <rPr>
        <b/>
        <sz val="11"/>
        <color rgb="FFFF0000"/>
        <rFont val="Calibri"/>
        <family val="2"/>
        <scheme val="minor"/>
      </rPr>
      <t>*</t>
    </r>
    <r>
      <rPr>
        <sz val="11"/>
        <color theme="1"/>
        <rFont val="Calibri"/>
        <family val="2"/>
        <scheme val="minor"/>
      </rPr>
      <t>:</t>
    </r>
  </si>
  <si>
    <t>Celular</t>
  </si>
  <si>
    <t>Celular (RT)</t>
  </si>
  <si>
    <t>Celular (Consumidor)</t>
  </si>
  <si>
    <t>Valida o somatório das potências dos trafos em relação à Potência Ativa Instalada</t>
  </si>
  <si>
    <t>Demanda Máxima de Carga - Consumo Próprio (kW)</t>
  </si>
  <si>
    <t>Controle de Revisão</t>
  </si>
  <si>
    <t>h</t>
  </si>
  <si>
    <t>Revisão</t>
  </si>
  <si>
    <t>Data</t>
  </si>
  <si>
    <t>Alteração</t>
  </si>
  <si>
    <t>i</t>
  </si>
  <si>
    <t>Corrente</t>
  </si>
  <si>
    <t>Alteração da célula B61 deixando apenas a pergunta: ""Você informou a demanda máxima de carga de XX kW. Está condizente com a modalidade? "</t>
  </si>
  <si>
    <t>MG</t>
  </si>
  <si>
    <t>h2 (Não houve alteraão de nome)</t>
  </si>
  <si>
    <t>Autoconsumo Remoto</t>
  </si>
  <si>
    <t>Geração Compartilhada</t>
  </si>
  <si>
    <t>Empreendimento de Múltiplas Unidades Consumidoras</t>
  </si>
  <si>
    <t>Alteração da célula B61 com a inclusão da mensagem de carga mínima
Alteração da CÉLULA T39 colocando carga mínima para as modalidades de: autoconsumo remoto, geração compartilhada e múltiplas unidades consumidoras 
Alteração da Fórmula da Demanda Contratada</t>
  </si>
  <si>
    <t>j</t>
  </si>
  <si>
    <t>Adicionar Formulário de Carga - Para modalidade Consumo Local</t>
  </si>
  <si>
    <t>#</t>
  </si>
  <si>
    <t>Descrição do Equipamento</t>
  </si>
  <si>
    <t>Quantidade</t>
  </si>
  <si>
    <t>kW Total</t>
  </si>
  <si>
    <t>POTÊNCIA EM CV - TRABALHO</t>
  </si>
  <si>
    <t>1/4</t>
  </si>
  <si>
    <t>1/3</t>
  </si>
  <si>
    <t>1/2</t>
  </si>
  <si>
    <t>3/4</t>
  </si>
  <si>
    <t>1,5</t>
  </si>
  <si>
    <t>7,5</t>
  </si>
  <si>
    <t>12,5</t>
  </si>
  <si>
    <t>POTÊNCIA EM kW - ABSORVIDA</t>
  </si>
  <si>
    <t>0,39</t>
  </si>
  <si>
    <t>0,52</t>
  </si>
  <si>
    <t>0,66</t>
  </si>
  <si>
    <t>0,89</t>
  </si>
  <si>
    <t>1,10</t>
  </si>
  <si>
    <t>1,58</t>
  </si>
  <si>
    <t>2,07</t>
  </si>
  <si>
    <t>3,07</t>
  </si>
  <si>
    <t>3,98</t>
  </si>
  <si>
    <t>4,91</t>
  </si>
  <si>
    <t>7,46</t>
  </si>
  <si>
    <t>9,44</t>
  </si>
  <si>
    <t>12,10</t>
  </si>
  <si>
    <t>DEMANDA EM kVA***</t>
  </si>
  <si>
    <t>0,62</t>
  </si>
  <si>
    <t>0,73</t>
  </si>
  <si>
    <t>0,92</t>
  </si>
  <si>
    <t>1,24</t>
  </si>
  <si>
    <t>1,49</t>
  </si>
  <si>
    <t>1,93</t>
  </si>
  <si>
    <t>2,44</t>
  </si>
  <si>
    <t>3,20</t>
  </si>
  <si>
    <t>4,15</t>
  </si>
  <si>
    <t>5,22</t>
  </si>
  <si>
    <t>7,94</t>
  </si>
  <si>
    <t>10,04</t>
  </si>
  <si>
    <t>13,01</t>
  </si>
  <si>
    <t>1/6</t>
  </si>
  <si>
    <t>0,25</t>
  </si>
  <si>
    <t>0,33</t>
  </si>
  <si>
    <t>0,41</t>
  </si>
  <si>
    <t>0,57</t>
  </si>
  <si>
    <t>0,82</t>
  </si>
  <si>
    <t>1,13</t>
  </si>
  <si>
    <t>1,94</t>
  </si>
  <si>
    <t>2,91</t>
  </si>
  <si>
    <t>3,82</t>
  </si>
  <si>
    <t>4,78</t>
  </si>
  <si>
    <t>0,37</t>
  </si>
  <si>
    <t>0,48</t>
  </si>
  <si>
    <t>0,56</t>
  </si>
  <si>
    <t>0,72</t>
  </si>
  <si>
    <t>1,08</t>
  </si>
  <si>
    <t>1,38</t>
  </si>
  <si>
    <t>2,03</t>
  </si>
  <si>
    <t>2,40</t>
  </si>
  <si>
    <t>3,64</t>
  </si>
  <si>
    <t>4,96</t>
  </si>
  <si>
    <t>5,62</t>
  </si>
  <si>
    <t>5,45</t>
  </si>
  <si>
    <t>6,90</t>
  </si>
  <si>
    <t>9,68</t>
  </si>
  <si>
    <t>11,79</t>
  </si>
  <si>
    <t>13,63</t>
  </si>
  <si>
    <t>18,40</t>
  </si>
  <si>
    <t>22,44</t>
  </si>
  <si>
    <t>26,93</t>
  </si>
  <si>
    <t>44,34</t>
  </si>
  <si>
    <t>51,35</t>
  </si>
  <si>
    <t>62,73</t>
  </si>
  <si>
    <t>6,49</t>
  </si>
  <si>
    <t>8,12</t>
  </si>
  <si>
    <t>10,76</t>
  </si>
  <si>
    <t>13,25</t>
  </si>
  <si>
    <t>14,98</t>
  </si>
  <si>
    <t>20,67</t>
  </si>
  <si>
    <t>24,66</t>
  </si>
  <si>
    <t>29,59</t>
  </si>
  <si>
    <t>49,27</t>
  </si>
  <si>
    <t>57,70</t>
  </si>
  <si>
    <t>70,48</t>
  </si>
  <si>
    <t>*** Demanda individual para apenas um motor. Para quantidades superiores, consultar Norma ND-5.1.</t>
  </si>
  <si>
    <t>POTÊNCIA EM BTU</t>
  </si>
  <si>
    <t>POTÊNCIA EM kW</t>
  </si>
  <si>
    <t>1,3</t>
  </si>
  <si>
    <t>1,4</t>
  </si>
  <si>
    <t>1,6</t>
  </si>
  <si>
    <t>1,9</t>
  </si>
  <si>
    <t>2,6</t>
  </si>
  <si>
    <t>2,8</t>
  </si>
  <si>
    <t>3,6</t>
  </si>
  <si>
    <r>
      <t xml:space="preserve">A)   </t>
    </r>
    <r>
      <rPr>
        <b/>
        <u/>
        <sz val="11"/>
        <color theme="1"/>
        <rFont val="Calibri"/>
        <family val="2"/>
        <scheme val="minor"/>
      </rPr>
      <t>MOTORES MONOFÁSICOS</t>
    </r>
  </si>
  <si>
    <r>
      <t xml:space="preserve">B)    </t>
    </r>
    <r>
      <rPr>
        <b/>
        <u/>
        <sz val="11"/>
        <color theme="1"/>
        <rFont val="Calibri"/>
        <family val="2"/>
        <scheme val="minor"/>
      </rPr>
      <t>MOTORES TRIFÁSICOS</t>
    </r>
  </si>
  <si>
    <r>
      <t xml:space="preserve">C)   </t>
    </r>
    <r>
      <rPr>
        <b/>
        <u/>
        <sz val="11"/>
        <color theme="1"/>
        <rFont val="Calibri"/>
        <family val="2"/>
        <scheme val="minor"/>
      </rPr>
      <t>AR CONDICIONADO</t>
    </r>
  </si>
  <si>
    <t>Conversão de Potência</t>
  </si>
  <si>
    <t>Nº de fases</t>
  </si>
  <si>
    <t>Tipo de Dispositivos de Partida p/Motores</t>
  </si>
  <si>
    <t xml:space="preserve">Para motores trifásicos acima de 50 CV ou monofásicos acima de 15 CV é necessário preencher o "Formulário para análise de Partida de Motores", disponível em: </t>
  </si>
  <si>
    <t>https://www.cemig.com.br/atendimento/ligacao-nova-e-aumento-de-carga/</t>
  </si>
  <si>
    <t>Tensão (V)</t>
  </si>
  <si>
    <t>Potência Individual (kW)</t>
  </si>
  <si>
    <t>APENAS PARA FONTE HÍDRICA. Responda com base na LEI N° 12.334, de 20 de setembro de 2010 e na Resolução Normativa N° 696, de 15 de dezembro de 2015.</t>
  </si>
  <si>
    <t>Dados de Segurança das Barragens no caso de sistemas com fontes hídricas</t>
  </si>
  <si>
    <t>Declaração</t>
  </si>
  <si>
    <t>1) A altura da barragem, contada do ponto mais baixo da fundação à crista, é maior ou igual a 15m (quinze metros)?</t>
  </si>
  <si>
    <t>2) Volume Total do Reservatório para barragens de uso múltiplo ou aproveitamento energético:</t>
  </si>
  <si>
    <t xml:space="preserve">Muito Pequeno ( Se o Volume Total do Reservatório for &lt; 3.000.000m³ ) </t>
  </si>
  <si>
    <t xml:space="preserve">Pequeno ( Se o Volume Total do Reservatório for &gt;= 3.000.000m³ e &lt;= 5.000.000m³ ) </t>
  </si>
  <si>
    <t xml:space="preserve">Médio ( Se o Volume Total do Reservatório for &gt; 5.000.000m³ e &lt;= 75.000.000m³ ) </t>
  </si>
  <si>
    <t xml:space="preserve">Grande ( Se o Volume Total do Reservatório for &gt; 75.000.000m³ e &lt;= 200.000.000m³ ) </t>
  </si>
  <si>
    <t>Muito Grande ( Se o Volume Total do Reservatório for &gt; 200.000.000m³ )</t>
  </si>
  <si>
    <t>3) Potencial de perdas de vidas humanas:</t>
  </si>
  <si>
    <t xml:space="preserve">INEXISTENTE (não existem pessoas permanentes/residentes ou temporárias/transitando na área afetada a jusante da barragem) </t>
  </si>
  <si>
    <t>POUCO FREQUENTE (não existem pessoas ocupando permanentemente a área afetada a jusante da barragem, mas existe estrada vicinal de uso local.)</t>
  </si>
  <si>
    <t>FREQUENTE (não existem pessoas ocupando permanentemente a área afetada a jusante da barragem, mas existe rodovia municipal, estadual, federal ou outro local e/ou empreendimento de permanência eventual de pessoas que poderão ser atingidas.)</t>
  </si>
  <si>
    <t>EXISTENTE (existem pessoas ocupando permanentemente a área afetada a jusante da barragem, portanto, vidas humanas poderão ser atingidas.)</t>
  </si>
  <si>
    <t>4) Impacto ambiental:</t>
  </si>
  <si>
    <t>SIGNIFICATIVO (área afetada da barragem não representa área de interesse ambiental, áreas protegidas em legislação específica ou encontra-se totalmente descaracterizada de suas condições naturais)</t>
  </si>
  <si>
    <t>MUITO SIGNIFICATIVO (área afetada da barragem apresenta interesse ambiental relevante ou protegida em legislação específica)</t>
  </si>
  <si>
    <t>5) Impacto sócio-econômico:</t>
  </si>
  <si>
    <t xml:space="preserve">INEXISTENTE (não existem quaisquer instalações e servicos de navegacao na área afetada por acidente da barragem) </t>
  </si>
  <si>
    <t xml:space="preserve">BAIXO (existe pequena concentração de instalações residenciais e comerciais, agrícolas, industriais ou de infraestrutura na área afetada da barragem ou instalações portuárias ou servicos de navegacao) </t>
  </si>
  <si>
    <t>ALTO (existe grande concentração de instalações residenciais e comerciais, agrícolas, industriais, de infraestrutura e servicos de lazer e turismo na área afetada da barragem ou instalações portuárias ou servicos de navegacao)</t>
  </si>
  <si>
    <t>k</t>
  </si>
  <si>
    <t>Declaro, para fins de direito, sob as penas da lei e em atendimento à Resolução Normativa n° 696, de 15 de dezembro de 2015 , que as informações prestadas neste sistema são verdadeiras, autênticas e condizentes com a realidade da barragem e/ou do dique da central geradora em referência.
Nada mais a declarar, e ciente das responsabilidades pelas declarações prestadas, submeto este formulário.
Estou ciente que a falsidade dos dados configura crime previsto no Código Penal Brasileiro e passível de apuração na forma da Lei.</t>
  </si>
  <si>
    <t>Possui sistema de armazenamento de energia:</t>
  </si>
  <si>
    <t>Serviços Auxiliares</t>
  </si>
  <si>
    <t>Adicionar formulário de Segurança de Barragens para fonte hídrica
Adicionado dados do sistema de armazenamento de energia
Colocar formulário de carga junto do formulário principal</t>
  </si>
  <si>
    <t>Soma Total das Cargas</t>
  </si>
  <si>
    <t>L</t>
  </si>
  <si>
    <t>Gerência de Processos Especiais de Expansão da Média e Baixa Tensão - EM/PE - Revisão L - 14/03/2023</t>
  </si>
  <si>
    <t>Solar</t>
  </si>
  <si>
    <r>
      <rPr>
        <b/>
        <sz val="11"/>
        <rFont val="Calibri"/>
        <family val="2"/>
        <scheme val="minor"/>
      </rPr>
      <t>Obs.:</t>
    </r>
    <r>
      <rPr>
        <sz val="11"/>
        <rFont val="Calibri"/>
        <family val="2"/>
        <scheme val="minor"/>
      </rPr>
      <t xml:space="preserve"> A potência inserida já deve considerar o fator de demanda. A potência de carga tem relação direta com a demanda de consumo a ser contratada </t>
    </r>
  </si>
  <si>
    <t>kW</t>
  </si>
  <si>
    <t>Selecione a quantidade de fontes de geração:</t>
  </si>
  <si>
    <t>Quantidades de Fontes de Geração</t>
  </si>
  <si>
    <t>Potência Geração 1 (kW):</t>
  </si>
  <si>
    <t>Potência Geração 2 (kW):</t>
  </si>
  <si>
    <t>Formulário de Segurança de Barragens incluído no corpo do formulário principal
Inserido Dermanda Contratada de Geração e Demanda Contratada de Consumo para ser inserido pelo cliente
Inserido 2 fontes de geração</t>
  </si>
  <si>
    <t>\\Campo de mensagem para o cliente retirado</t>
  </si>
  <si>
    <t>Preencher o quadro abaixo com a relação dos equipamentos que consomem energia da Unidade Consumidora</t>
  </si>
  <si>
    <t>1 - Número da Instalação: O número da unidade consumidora na qual será instalada a geração distribuída. Caso tratar-se de ligação nova, não preencher. Obs: Para instalação existente conectada em MT, o número da instalação pode ser encontrado no descritivo inicial do contrato de uso do sistema de distribuição - CUSD.</t>
  </si>
  <si>
    <r>
      <t xml:space="preserve">Localização </t>
    </r>
    <r>
      <rPr>
        <b/>
        <sz val="11"/>
        <color indexed="8"/>
        <rFont val="Calibri"/>
        <family val="2"/>
      </rPr>
      <t>em Coordenadas UTM -</t>
    </r>
    <r>
      <rPr>
        <sz val="11"/>
        <color theme="1"/>
        <rFont val="Calibri"/>
        <family val="2"/>
        <scheme val="minor"/>
      </rPr>
      <t xml:space="preserve"> Ponto de Conexão:</t>
    </r>
  </si>
  <si>
    <t>4 - Localização em Coordenadas: Informe as coordenadas da localização do ponto de conexão da energia no formato UTM Modelo: "6 dígitos numéricos, 7 dígitos numéricos". Obrigatório informar Fuso, E (Abscissa) e N (Ordenada). A central geradora deverá estar conectada a no máximo 5,0 metros da divisa da propriedade em áreas urbanas e a no máximo 30 metros da primeira estrutura na propriedade do consumidor em áreas rurais.</t>
  </si>
  <si>
    <t>*Potência em relação ao consumo da UC (Não incluir potência dos transformadores, inversores ou placas)</t>
  </si>
  <si>
    <t>Hidráulica</t>
  </si>
  <si>
    <t>𝐺𝑎𝑟𝑎𝑛𝑡𝑖𝑎𝑑𝑒𝐹𝑖𝑒𝑙𝐶𝑢𝑚𝑝𝑟𝑖𝑚𝑒𝑛𝑡𝑜=𝑃𝑒𝑟𝑐𝑒𝑛𝑡𝑢𝑎𝑙𝑥𝑃𝑜𝑡ê𝑛𝑐𝑖𝑎𝑥𝑃𝑟𝑒ç𝑜</t>
  </si>
  <si>
    <t>em que:</t>
  </si>
  <si>
    <t>Percentual= 2,5%, caso a potência a ser conectada seja superior a 500 kW e inferior a 1.000 kW; ou</t>
  </si>
  <si>
    <t>5,0%, caso a potência a ser conectada seja igual ou superior a 1.000 kW;</t>
  </si>
  <si>
    <t>Potência= potência a ser conectada objeto da solicitação de orçamento de conexão, nos termos da Seção IX do Capítulo II do Título I, em kW; e</t>
  </si>
  <si>
    <t>Preço = preço estabelecido em ato da ANEEL, em R$/kW.</t>
  </si>
  <si>
    <t>Percentual</t>
  </si>
  <si>
    <t>&gt;500 e &lt; 1000</t>
  </si>
  <si>
    <t>&gt;=1000</t>
  </si>
  <si>
    <t>Preço</t>
  </si>
  <si>
    <t>Garantia</t>
  </si>
  <si>
    <t>Tipo de fonte</t>
  </si>
  <si>
    <t>Custo de investimento (R$/kW)</t>
  </si>
  <si>
    <t>Biomassa</t>
  </si>
  <si>
    <t>Cogeração Qualificada</t>
  </si>
  <si>
    <t>Eólica</t>
  </si>
  <si>
    <t>O  interessado  em  implantar  minigeração  distribuída  com  potência  instalada superior a 500 kW deve apresentar à distribuidora a garantia de fiel cumprimento na ocasião do protocolo da solicitação de orçamento de conexão (solicitação de acesso), nos termos da resolução vigente.</t>
  </si>
  <si>
    <t>Garantia de Fiel Cumprimento:</t>
  </si>
  <si>
    <t>REH 3171 de 07/02/2023</t>
  </si>
  <si>
    <t>A garantia de fiel cumprimento é calculada de acordo com o art. 655-C da Resolução Normativa n° 1.000, de 2021.</t>
  </si>
  <si>
    <t>Para 2 tipos de fonte</t>
  </si>
  <si>
    <t>Tipo de fonte selecionada (Fonte 1)</t>
  </si>
  <si>
    <t>Tipo de fonte selecionada (Fonte 2)</t>
  </si>
  <si>
    <t>Fonte 1</t>
  </si>
  <si>
    <t>Fonte 2</t>
  </si>
  <si>
    <t>Total</t>
  </si>
  <si>
    <t>M</t>
  </si>
  <si>
    <t>Inclusão da Garantia de Fiel Cumprimento</t>
  </si>
  <si>
    <t>Potência Ativa Instalada</t>
  </si>
  <si>
    <t>Potência para cálculo</t>
  </si>
  <si>
    <t>Potência Atual de Geração</t>
  </si>
  <si>
    <t>Potência Ativa Instalada 1</t>
  </si>
  <si>
    <t>4 – DADOS DA GERAÇÃO</t>
  </si>
  <si>
    <t>4.1 – DADOS DAS FONTE DE GERAÇÃO 1</t>
  </si>
  <si>
    <t>4.2 – DADOS DAS FONTE DE GERAÇÃO 2</t>
  </si>
  <si>
    <t>3 – DOCUMENTAÇÃO DA UC A SER ANEXADA (NOVA UC OU ALTERAÇÃO DE POTÊNCIA)</t>
  </si>
  <si>
    <t>3.1 -Documentos de identificação do consumidor, conforme incisos I e II do art. 67 da Resolução Normativa nº 1.000/2021.</t>
  </si>
  <si>
    <t>3.3 - Informação das cargas que possam provocar perturbações no sistema de distribuição.</t>
  </si>
  <si>
    <t>3.4 - Informação e documentação das atividades desenvolvidas nas instalações.</t>
  </si>
  <si>
    <t>3.5 - Apresentação de licença ou declaração emitida pelo órgão competente caso as instalações ou a extensão de rede de responsabilidade do consumidor e demais usuários ocuparem áreas protegidas pela legislação, tais como unidades de conservação, reservas legais, áreas de preservação permanente, territórios indígenas e quilombolas.</t>
  </si>
  <si>
    <t>3.6.2 - Para imóveis rurais apresentar o documento de Cadastro Ambiental Rural – CAR. O CAR é um registro público eletrônico de âmbito nacional, Lei nº 12.651/2012, obrigatório para todos os imóveis rurais.</t>
  </si>
  <si>
    <t>3.6.3 - Documento que comprove o direito de posse pelo proprietário da central geradora em casos de aluguel, cessão ou arrendamento de áreas, telhados ou estruturas. (Caso aplicável)</t>
  </si>
  <si>
    <t>3.6.4 - Documento fornecido pelo condomínio que comprove autorização de uso de área comum da edificação coletiva para instalação de central geradora de uso particular da unidade em questão. (Caso aplicável)</t>
  </si>
  <si>
    <t>3.6.5 - Em casos de Subestação Compartilhada com mais de um CPF/CNPJ, apresentar procuração com a eleição de um membro que responderá por todo o empreendimento. (Caso aplicável)</t>
  </si>
  <si>
    <t>5 - DADOS DO SISTEMA DE ARMAZENAMENTO DE ENERGIA</t>
  </si>
  <si>
    <t>6 - GARANTIA DE FIEL CUMPRIMENTO</t>
  </si>
  <si>
    <t>7 – DOCUMENTAÇÃO TÉCNICA A SER ANEXADA (OBRIGATÓRIA)</t>
  </si>
  <si>
    <t>7.1 - Documento de responsabilidade técnica (projeto e execução) do conselho profissional competente, que identifique o número do registro válido e o nome do responsável técnico, o local da obra ou serviço e as atividades profissionais desenvolvidas</t>
  </si>
  <si>
    <t>7.2 - Projeto elétrico das instalações de conexão e memorial descritivo da instalação contendo a planta de situação com indicação do local do padrão de entrada, conforme Normas Técnicas de Distribuição ND 5.1 e ND 5.2 ou indicação do local da subestação de entrada, conforme ND 5.3 e modelos disponibilizados no site da Cemig.</t>
  </si>
  <si>
    <t>7.3 - Diagrama unifilar e de blocos do sistema de geração, carga e proteção.</t>
  </si>
  <si>
    <t>7.4 - Relatório de ensaio, em língua portuguesa, atestando a conformidade de todos os conversores de potência para a tensão nominal de conexão com a rede, sempre que houver a utilização de conversores. (incluindo conversores para geração e armazenamento de energia)</t>
  </si>
  <si>
    <t>7.5 - Dados necessários ao registro da central geradora distribuída conforme disponível no site da ANEEL.</t>
  </si>
  <si>
    <t>7.6 - Lista de unidades consumidoras participantes do sistema de compensação, indicando o percentual ou a ordem de utilização dos excedentes.</t>
  </si>
  <si>
    <t>7.7 - Cópia de instrumento jurídico que comprove a participação dos integrantes para os casos de múltiplas unidades consumidoras e geração compartilhada. (Caso aplicável)</t>
  </si>
  <si>
    <t>7.8 - Documento que comprove o reconhecimento, pela ANEEL, da cogeração qualificada (Caso aplicável)</t>
  </si>
  <si>
    <t>7.9 - Dados de segurança das barragens no caso do uso de sistemas com fontes hídricas, conforme Resolução Normativa nº 696/2015. Preencher ao final do formulário. (Caso aplicável)</t>
  </si>
  <si>
    <t>7.10 - Para centrais fotovoltaicas enquadradas como despacháveis, comprovação de que o sistema de armazenamento atende o disposto no art. 655-B da Resolução Normativa nº 1.000/2021. (Caso aplicável)</t>
  </si>
  <si>
    <t>7.11 - Documento que comprove o aporte da Garantia de Fiel Cumprimento, conforme previsto no art. 655-C da Resolução Normativa nº 1.000/2021. (Caso aplicável)</t>
  </si>
  <si>
    <t>8 – CONTATO NA DISTRIBUIDORA (preenchido pela Distribuidora)</t>
  </si>
  <si>
    <t>Tipo de Fonte Primária:</t>
  </si>
  <si>
    <t xml:space="preserve"> Modalidade de Compensação de Excedentes</t>
  </si>
  <si>
    <t>Tipo de geração</t>
  </si>
  <si>
    <t>Empregando máquina síncrona sem conversor</t>
  </si>
  <si>
    <t>Empregando conversor eletrônico/inversor</t>
  </si>
  <si>
    <t>Mista</t>
  </si>
  <si>
    <t>Outra (especificar):</t>
  </si>
  <si>
    <t>Tipo de geração:</t>
  </si>
  <si>
    <t>10 – SOLICITANTE</t>
  </si>
  <si>
    <t>11 - FORMULÁRIO DE CARGA</t>
  </si>
  <si>
    <t>X</t>
  </si>
  <si>
    <t>9 – SOLICITAÇÕES E DECLARAÇÕES</t>
  </si>
  <si>
    <r>
      <rPr>
        <b/>
        <sz val="11"/>
        <color theme="1"/>
        <rFont val="Calibri"/>
        <family val="2"/>
        <scheme val="minor"/>
      </rPr>
      <t>GD Existente COM Alteração de Potência Ativa Instalada Total</t>
    </r>
    <r>
      <rPr>
        <sz val="11"/>
        <color theme="1"/>
        <rFont val="Calibri"/>
        <family val="2"/>
        <scheme val="minor"/>
      </rPr>
      <t>: trata-se de unidade consumidora existente na qual já possui geração distribuída e o acessante deseja alterar a potência de injeção da central geradora.</t>
    </r>
  </si>
  <si>
    <t>6 - Grupo Motor Gerador de Emergência - Diesel ou Gás (kVA): Caso exista outra modalidade de geração, com operação em paralelo com a Cemig, e que não seja habilitada para o sistema de compensação de energia, tal como geração a diesel, ela deverá contar com disjuntor independente, com as funções de proteção ANSI conforme especificações das ND’s 5.30 e 5.31.</t>
  </si>
  <si>
    <t>7 - Transformador particular (kVA): Informe a potência instalada de transformação da subestação de entrada ou o arranjo de transformadores utilizados.</t>
  </si>
  <si>
    <t>8 - Tipo de Subestação Conforme ND 5.3: Para a construção da subestação de entrada de média tensão o cliente deve optar por um dos tipos de subestações, considerando suas aplicações e características, que podem ser consultadas no site da Cemig pelo endereço eletrônico: https://www.cemig.com.br/wp-content/uploads/2020/07/nd5_3_000001p.pdf</t>
  </si>
  <si>
    <t>9 - Tipo de Padrão de Entrada: Neste campo deverá ser informado a capacidade em amperes do disjuntor individual do padrão Cemig que atende à instalação. Se existir disjuntor geral, no caso de mais de uma unidade consumidora, informe a corrente nominal do disjuntor geral instalado. Caso haja modificações no padrão de entrada de uso coletivo com disjuntor geral, é necessário solicitar uma vistoria do quadro de medição coletivo antes do pedido de vistoria e conexão da GD.</t>
  </si>
  <si>
    <t>10 - Disjuntor Solicitado para Alteração de Carga: Informe a capacidade do novo disjuntor, caso haja necessidade de alteração de carga. Vale destacar que deverá ser anexado também o formulário de alteração de carga com informações específicas.</t>
  </si>
  <si>
    <t>11 - Tensão de Atendimento (V): Tensão nominal do ponto de conexão com a rede da concessionária.</t>
  </si>
  <si>
    <t>Conferir Demanda Contratada Menor que Potência dos Transformadores</t>
  </si>
  <si>
    <t>Para SE n°1, 5 ou 8</t>
  </si>
  <si>
    <t>Para SE n° 2 ou 4</t>
  </si>
  <si>
    <t>Identifica SE tipo N°2</t>
  </si>
  <si>
    <t>SE/Tensão</t>
  </si>
  <si>
    <t>N° 1</t>
  </si>
  <si>
    <t>N° 2</t>
  </si>
  <si>
    <t>N° 4</t>
  </si>
  <si>
    <t>N° 5</t>
  </si>
  <si>
    <t>N° 8</t>
  </si>
  <si>
    <t>Individual/Compartilhada</t>
  </si>
  <si>
    <t>N</t>
  </si>
  <si>
    <t>Adequação da REN 1059 - Mesma versão da REV_M - PAD - Rev2</t>
  </si>
  <si>
    <t>Para fonte diferente da original, deverá ser realizada solicitação de ligação nova.</t>
  </si>
  <si>
    <t xml:space="preserve">Anexou contrato de constituição?: </t>
  </si>
  <si>
    <t>O</t>
  </si>
  <si>
    <t>O telhado será arrendado para uma pessoa/empresa diferente do proprietário do telhado:</t>
  </si>
  <si>
    <t>O telhado será arrendado</t>
  </si>
  <si>
    <t>Para Geração Compartilhada, necessário anexar documento que comprove formação de consórcio ou cooperativa</t>
  </si>
  <si>
    <t>Inclusão de questionamento sobre contrato de constituição
Aterações nas demandas contratadas e a contratar
Inclusão sobre instalação no telhado</t>
  </si>
  <si>
    <t>12 - Localização dos Módulos Solares:</t>
  </si>
  <si>
    <t>13 - Tipo de Solicitação:</t>
  </si>
  <si>
    <t>14 - Modalidade de compensação: Modalidade de alocação de créditos utilizada no sistema de compensação de energia elétrica.</t>
  </si>
  <si>
    <t>15 - Potência Ativa Instalada Total de Geração (kW): Corresponde à máxima potência ativa gerada pela central geradora, em kW. Para centrais geradoras fotovoltaicas, trata-se do menor valor entre a Potência Total dos Inversores (kW) e a Potência Total dos Módulos (kWp).</t>
  </si>
  <si>
    <t>16 - Tipo de fonte renovável de energia elétrica ou cogeração qualificada (conforme Resolução Normativa nº 235/2006) utilizada pela central geradora.</t>
  </si>
  <si>
    <t>17 - Dados para Sistema de Registro de Geração Distribuída – SISGD de Outorga ou Registro.</t>
  </si>
  <si>
    <t>18 - Dados para Sistema de Registro de Geração Distribuída – SISGD - Central Geradora Fotovoltaica.</t>
  </si>
  <si>
    <t>19 - Dados para Sistema de Registro de Geração Distribuída – SISGD Central Geradora Hidrelétrica - CGH.</t>
  </si>
  <si>
    <t>20 - Dados para Sistema de Registro de Geração Distribuída – SISGD de Central Geradora Térmica - UTE.</t>
  </si>
  <si>
    <t>21 - Dados para Sistema de Registro de Geração Distribuída – SISGD de Central Geradora Eólica - EOL.</t>
  </si>
  <si>
    <t>22 - Demanda contratada de consumo: Tem relação direta com a potência dos equipamentos que consomem energia, incluindo Serviços Auxiliares, da Unidade Consumidora. Não estão inclusas as potências dos dispositivos de conversão de energia, como exemplo tranformadores de acoplamento, inversores ou placas solares.</t>
  </si>
  <si>
    <t>O1</t>
  </si>
  <si>
    <t>Ajuste dos alertas no início da planilha Conferência - retirada do ramal
Ajuste do texto do item 8.1</t>
  </si>
  <si>
    <t>No caso de telhado arrendado, foram representadas as 2 instalações no DUB e memorial descritivo?</t>
  </si>
  <si>
    <t>Número da instalação existente no local:</t>
  </si>
  <si>
    <t>A instalação existente é atendida em BT ou MT:</t>
  </si>
  <si>
    <t>BT - Baixa Tensão</t>
  </si>
  <si>
    <t>MT - Média Tensão</t>
  </si>
  <si>
    <t>P1</t>
  </si>
  <si>
    <t>Autoconsumo Local</t>
  </si>
  <si>
    <t>Solicito dispensa da análise de inversão de fluxo por enquadramento no art. 73-A, na seguinte regra: (Opcional)</t>
  </si>
  <si>
    <t>não injeção na rede de distribuição de energia elétrica (“Grid Zero”)</t>
  </si>
  <si>
    <t>Seleção</t>
  </si>
  <si>
    <t>Inclusão das questões de arrendamento do telhado
Retirada do número do cliente (PN)
Inclusão da possibilidade do GRID ZERO no item 8.5 conforme REN 1098 e REH 3354</t>
  </si>
  <si>
    <t>P2</t>
  </si>
  <si>
    <t>9.1 - A subestação está pronta para ser ligada e a usina está instalada?</t>
  </si>
  <si>
    <t>9.2 - Renuncio ao direito de desistir do orçamento de conexão nos termos da resolução ANEEL vigente. (Opcional)</t>
  </si>
  <si>
    <t>9.3 - Autorizo a distribuidora a entregar junto com o orçamento de conexão os contratos e o documento ou meio para pagamento de custos de minha responsabilidade. (Opcional)</t>
  </si>
  <si>
    <t>9.4 - Declaro que as instalações internas da minha unidade consumidora, incluindo a geração distribuída, atendem às normas e padrões da distribuidora, às normas da Associação Brasileira de Normas Técnicas - ABNT e às normas dos órgãos oficiais competentes, e ao art. 8º da Lei nº9.074, de 1995, naquilo que for aplicável. (Obrigatório)</t>
  </si>
  <si>
    <t>9.5 - Solicito dispensa da análise de inversão de fluxo por enquadramento no art. 73-A, na seguinte regra: (Opcional)</t>
  </si>
  <si>
    <t>9.6 -  Declaro, para todos os fins, que todas as informações prestadas neste documento são verdadeiras. (Obrigatório)</t>
  </si>
  <si>
    <t>Para o item 9.1</t>
  </si>
  <si>
    <t>Para a resposta do item 9.1 = 'Não', você deve solicitar seu pedido de vistoria e ligação em até 120 dias após a conclusão das etapas do orçamento de conexão</t>
  </si>
  <si>
    <t xml:space="preserve">Para a resposta do item 9.1 = 'Sim', o pedido de vistoria e ligação será disparado automaticamente após conclusão das etapas do orçamento de conexão. Lembrando que o orçamento de conexão poderá ser cancelado em caso de duas reprovações pelo mesmo motivo e que há cobrança de taxa a partir do segundo serviço realizado. </t>
  </si>
  <si>
    <t>Gerência de Processos Especiais de Expansão da Média e Baixa Tensão - EM/PE - Revisão P2 - 01/11/2024</t>
  </si>
  <si>
    <t>3.6.1 - Documento com data que comprove a propriedade ou posse do imóvel onde será implantada a unidade consumidora com minigeração distribuída, e que, no caso de unidade flutuante, deve ser complementado por autorização, licença ou documento equivalente exigível pelas autoridades competentes para a instalação flutuante, observada a possibilidade de dispensa prevista na Resolução Normativa nº 1.000/2021.</t>
  </si>
  <si>
    <t>Ajuste no texto do item 3.6.2
Corrigir numeração do Quadro 9</t>
  </si>
  <si>
    <t>3.2 - Declaração descritiva da carga instalada - Preencher Formulário de Carga - Item 11 deste formulário</t>
  </si>
  <si>
    <r>
      <t>Impedância Percentual do Transformador</t>
    </r>
    <r>
      <rPr>
        <sz val="11"/>
        <color rgb="FFFF0000"/>
        <rFont val="Calibri"/>
        <family val="2"/>
        <scheme val="minor"/>
      </rPr>
      <t>*</t>
    </r>
    <r>
      <rPr>
        <sz val="11"/>
        <color theme="1"/>
        <rFont val="Calibri"/>
        <family val="2"/>
        <scheme val="minor"/>
      </rPr>
      <t>:</t>
    </r>
  </si>
  <si>
    <t>Demanda de Consumo</t>
  </si>
  <si>
    <t>MIN</t>
  </si>
  <si>
    <t>MAX</t>
  </si>
  <si>
    <t>O empreendimento será "Grid Zero"?:</t>
  </si>
  <si>
    <r>
      <t xml:space="preserve">não injeção na rede de distribuição de energia elétrica (“Grid Zero”) - </t>
    </r>
    <r>
      <rPr>
        <sz val="8"/>
        <color theme="1"/>
        <rFont val="Calibri"/>
        <family val="2"/>
        <scheme val="minor"/>
      </rPr>
      <t>Pergunta "O empreendimento será 'Grid Zero'?" na seção 2 - Dados da Unidade Consumidora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</si>
</sst>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 #,##0.00_-;\-&quot;R$&quot;\ * #,##0.00_-;_-&quot;R$&quot;\ * &quot;-&quot;??_-;_-@_-"/>
    <numFmt numFmtId="164" formatCode="[&lt;100000000000]000\.000\.000\-00;00\.000\.000\/0000\-00"/>
    <numFmt numFmtId="165" formatCode="\(##\)\ ####\-####"/>
    <numFmt numFmtId="166" formatCode="\(##\)\ #\ ####\-####"/>
    <numFmt numFmtId="167" formatCode="00000\-000"/>
    <numFmt numFmtId="168" formatCode="0.0"/>
    <numFmt numFmtId="169" formatCode="&quot;R$&quot;\ #,##0.00"/>
  </numFmts>
  <fonts count="31" x14ac:knownFonts="1">
    <font>
      <sz val="11"/>
      <color theme="1"/>
      <name val="Calibri"/>
      <family val="2"/>
      <scheme val="minor"/>
    </font>
    <font>
      <sz val="11"/>
      <color indexed="10"/>
      <name val="Calibri"/>
      <family val="2"/>
    </font>
    <font>
      <b/>
      <sz val="11"/>
      <color indexed="8"/>
      <name val="Calibri"/>
      <family val="2"/>
    </font>
    <font>
      <sz val="11"/>
      <color rgb="FF0070C0"/>
      <name val="Calibri"/>
      <family val="2"/>
      <scheme val="minor"/>
    </font>
    <font>
      <b/>
      <sz val="11"/>
      <color theme="0"/>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0"/>
      <color theme="1"/>
      <name val="Calibri"/>
      <family val="2"/>
      <scheme val="minor"/>
    </font>
    <font>
      <sz val="8"/>
      <color rgb="FFFF0000"/>
      <name val="Calibri"/>
      <family val="2"/>
      <scheme val="minor"/>
    </font>
    <font>
      <b/>
      <sz val="14"/>
      <color theme="1"/>
      <name val="Calibri"/>
      <family val="2"/>
      <scheme val="minor"/>
    </font>
    <font>
      <sz val="12"/>
      <color theme="1"/>
      <name val="Calibri"/>
      <family val="2"/>
      <scheme val="minor"/>
    </font>
    <font>
      <sz val="10"/>
      <color theme="1"/>
      <name val="Times New Roman"/>
      <family val="1"/>
    </font>
    <font>
      <b/>
      <sz val="11"/>
      <color theme="1"/>
      <name val="Times New Roman"/>
      <family val="1"/>
    </font>
    <font>
      <b/>
      <sz val="11"/>
      <color rgb="FF0070C0"/>
      <name val="Calibri"/>
      <family val="2"/>
      <scheme val="minor"/>
    </font>
    <font>
      <sz val="8"/>
      <name val="Calibri"/>
      <family val="2"/>
      <scheme val="minor"/>
    </font>
    <font>
      <sz val="8"/>
      <color theme="1" tint="0.34998626667073579"/>
      <name val="Wingdings"/>
      <charset val="2"/>
    </font>
    <font>
      <vertAlign val="superscript"/>
      <sz val="11"/>
      <color theme="1"/>
      <name val="Calibri"/>
      <family val="2"/>
      <scheme val="minor"/>
    </font>
    <font>
      <b/>
      <u/>
      <sz val="11"/>
      <color theme="1"/>
      <name val="Calibri"/>
      <family val="2"/>
      <scheme val="minor"/>
    </font>
    <font>
      <b/>
      <sz val="11"/>
      <color rgb="FFFF0000"/>
      <name val="Calibri"/>
      <family val="2"/>
      <scheme val="minor"/>
    </font>
    <font>
      <sz val="11"/>
      <name val="Calibri"/>
      <family val="2"/>
      <scheme val="minor"/>
    </font>
    <font>
      <sz val="11"/>
      <color theme="1"/>
      <name val="Calibri"/>
      <family val="2"/>
      <scheme val="minor"/>
    </font>
    <font>
      <sz val="11"/>
      <color theme="1"/>
      <name val="Calibri"/>
      <family val="2"/>
    </font>
    <font>
      <sz val="12"/>
      <color rgb="FF0070C0"/>
      <name val="Calibri"/>
      <family val="2"/>
      <scheme val="minor"/>
    </font>
    <font>
      <u/>
      <sz val="11"/>
      <color theme="10"/>
      <name val="Calibri"/>
      <family val="2"/>
      <scheme val="minor"/>
    </font>
    <font>
      <b/>
      <sz val="11"/>
      <color rgb="FF000000"/>
      <name val="Calibri"/>
      <family val="2"/>
      <scheme val="minor"/>
    </font>
    <font>
      <sz val="11"/>
      <color rgb="FF000000"/>
      <name val="Calibri"/>
      <family val="2"/>
      <scheme val="minor"/>
    </font>
    <font>
      <b/>
      <sz val="11"/>
      <name val="Calibri"/>
      <family val="2"/>
      <scheme val="minor"/>
    </font>
    <font>
      <sz val="9"/>
      <color theme="1"/>
      <name val="Calibri"/>
      <family val="2"/>
      <scheme val="minor"/>
    </font>
    <font>
      <sz val="8"/>
      <color theme="1"/>
      <name val="Calibri"/>
      <family val="2"/>
      <scheme val="minor"/>
    </font>
    <font>
      <sz val="7"/>
      <color rgb="FFFF0000"/>
      <name val="Calibri"/>
      <family val="2"/>
      <scheme val="minor"/>
    </font>
  </fonts>
  <fills count="13">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0"/>
        <bgColor indexed="64"/>
      </patternFill>
    </fill>
    <fill>
      <patternFill patternType="solid">
        <fgColor rgb="FFFBC8AB"/>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rgb="FFBFBFBF"/>
        <bgColor rgb="FFBFBFBF"/>
      </patternFill>
    </fill>
    <fill>
      <patternFill patternType="solid">
        <fgColor rgb="FFFFFFFF"/>
        <bgColor rgb="FFFFFFFF"/>
      </patternFill>
    </fill>
    <fill>
      <patternFill patternType="solid">
        <fgColor theme="0" tint="-0.249977111117893"/>
        <bgColor indexed="64"/>
      </patternFill>
    </fill>
  </fills>
  <borders count="47">
    <border>
      <left/>
      <right/>
      <top/>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theme="1" tint="0.34998626667073579"/>
      </right>
      <top/>
      <bottom/>
      <diagonal/>
    </border>
    <border>
      <left style="medium">
        <color theme="1" tint="0.34998626667073579"/>
      </left>
      <right/>
      <top style="medium">
        <color theme="1" tint="0.34998626667073579"/>
      </top>
      <bottom style="thin">
        <color theme="0" tint="-0.14996795556505021"/>
      </bottom>
      <diagonal/>
    </border>
    <border>
      <left/>
      <right/>
      <top style="medium">
        <color theme="1" tint="0.34998626667073579"/>
      </top>
      <bottom style="thin">
        <color theme="0" tint="-0.14996795556505021"/>
      </bottom>
      <diagonal/>
    </border>
    <border>
      <left/>
      <right style="thin">
        <color theme="0" tint="-0.14996795556505021"/>
      </right>
      <top style="medium">
        <color theme="1" tint="0.34998626667073579"/>
      </top>
      <bottom style="thin">
        <color theme="0" tint="-0.14996795556505021"/>
      </bottom>
      <diagonal/>
    </border>
    <border>
      <left style="medium">
        <color theme="1" tint="0.34998626667073579"/>
      </left>
      <right/>
      <top style="medium">
        <color theme="1" tint="0.34998626667073579"/>
      </top>
      <bottom style="thin">
        <color theme="0" tint="-0.14993743705557422"/>
      </bottom>
      <diagonal/>
    </border>
    <border>
      <left/>
      <right style="thin">
        <color theme="0" tint="-0.14993743705557422"/>
      </right>
      <top style="medium">
        <color theme="1" tint="0.34998626667073579"/>
      </top>
      <bottom style="thin">
        <color theme="0" tint="-0.14993743705557422"/>
      </bottom>
      <diagonal/>
    </border>
    <border>
      <left/>
      <right/>
      <top style="medium">
        <color theme="1" tint="0.34998626667073579"/>
      </top>
      <bottom style="thin">
        <color theme="0" tint="-0.14993743705557422"/>
      </bottom>
      <diagonal/>
    </border>
    <border>
      <left style="thin">
        <color theme="0" tint="-0.14996795556505021"/>
      </left>
      <right/>
      <top/>
      <bottom/>
      <diagonal/>
    </border>
    <border>
      <left style="thin">
        <color indexed="64"/>
      </left>
      <right style="thin">
        <color indexed="64"/>
      </right>
      <top style="thin">
        <color indexed="64"/>
      </top>
      <bottom style="thin">
        <color indexed="64"/>
      </bottom>
      <diagonal/>
    </border>
    <border>
      <left style="medium">
        <color theme="1" tint="0.34998626667073579"/>
      </left>
      <right/>
      <top style="medium">
        <color theme="1" tint="0.34998626667073579"/>
      </top>
      <bottom style="medium">
        <color theme="0" tint="-0.14996795556505021"/>
      </bottom>
      <diagonal/>
    </border>
    <border>
      <left/>
      <right/>
      <top style="medium">
        <color theme="1" tint="0.34998626667073579"/>
      </top>
      <bottom style="medium">
        <color theme="0" tint="-0.14996795556505021"/>
      </bottom>
      <diagonal/>
    </border>
    <border>
      <left/>
      <right style="medium">
        <color theme="0" tint="-0.14996795556505021"/>
      </right>
      <top style="medium">
        <color theme="1" tint="0.34998626667073579"/>
      </top>
      <bottom style="medium">
        <color theme="0" tint="-0.14996795556505021"/>
      </bottom>
      <diagonal/>
    </border>
    <border>
      <left/>
      <right style="thin">
        <color theme="0" tint="-0.14996795556505021"/>
      </right>
      <top style="medium">
        <color theme="1" tint="0.34998626667073579"/>
      </top>
      <bottom style="thin">
        <color theme="0" tint="-0.14993743705557422"/>
      </bottom>
      <diagonal/>
    </border>
    <border>
      <left/>
      <right style="thin">
        <color theme="0" tint="-0.14996795556505021"/>
      </right>
      <top/>
      <bottom style="thin">
        <color indexed="64"/>
      </bottom>
      <diagonal/>
    </border>
    <border>
      <left style="thin">
        <color theme="0" tint="-0.14996795556505021"/>
      </left>
      <right style="thin">
        <color indexed="64"/>
      </right>
      <top/>
      <bottom style="thin">
        <color theme="0" tint="-0.14993743705557422"/>
      </bottom>
      <diagonal/>
    </border>
    <border>
      <left style="thin">
        <color indexed="64"/>
      </left>
      <right style="thin">
        <color indexed="64"/>
      </right>
      <top style="medium">
        <color theme="1" tint="0.34998626667073579"/>
      </top>
      <bottom style="thin">
        <color theme="0" tint="-0.14996795556505021"/>
      </bottom>
      <diagonal/>
    </border>
    <border>
      <left style="medium">
        <color theme="1" tint="0.34998626667073579"/>
      </left>
      <right style="thin">
        <color indexed="64"/>
      </right>
      <top style="medium">
        <color theme="1" tint="0.34998626667073579"/>
      </top>
      <bottom style="thin">
        <color theme="0" tint="-0.14996795556505021"/>
      </bottom>
      <diagonal/>
    </border>
    <border>
      <left style="thin">
        <color indexed="64"/>
      </left>
      <right style="thin">
        <color theme="0" tint="-0.14996795556505021"/>
      </right>
      <top style="medium">
        <color theme="1" tint="0.34998626667073579"/>
      </top>
      <bottom style="thin">
        <color theme="0" tint="-0.1499679555650502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rgb="FFFF0000"/>
      </left>
      <right/>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style="medium">
        <color theme="1" tint="0.34998626667073579"/>
      </left>
      <right/>
      <top style="medium">
        <color theme="1" tint="0.34998626667073579"/>
      </top>
      <bottom/>
      <diagonal/>
    </border>
    <border>
      <left/>
      <right/>
      <top style="medium">
        <color theme="1" tint="0.34998626667073579"/>
      </top>
      <bottom/>
      <diagonal/>
    </border>
  </borders>
  <cellStyleXfs count="4">
    <xf numFmtId="0" fontId="0" fillId="0" borderId="0"/>
    <xf numFmtId="9" fontId="21" fillId="0" borderId="0" applyFont="0" applyFill="0" applyBorder="0" applyAlignment="0" applyProtection="0"/>
    <xf numFmtId="0" fontId="24" fillId="0" borderId="0" applyNumberFormat="0" applyFill="0" applyBorder="0" applyAlignment="0" applyProtection="0"/>
    <xf numFmtId="44" fontId="21" fillId="0" borderId="0" applyFont="0" applyFill="0" applyBorder="0" applyAlignment="0" applyProtection="0"/>
  </cellStyleXfs>
  <cellXfs count="295">
    <xf numFmtId="0" fontId="0" fillId="0" borderId="0" xfId="0"/>
    <xf numFmtId="0" fontId="0" fillId="0" borderId="1" xfId="0" applyBorder="1"/>
    <xf numFmtId="0" fontId="3" fillId="0" borderId="0" xfId="0" applyFont="1"/>
    <xf numFmtId="164" fontId="3" fillId="0" borderId="0" xfId="0" applyNumberFormat="1" applyFont="1"/>
    <xf numFmtId="164" fontId="3" fillId="0" borderId="0" xfId="0" applyNumberFormat="1" applyFont="1" applyAlignment="1">
      <alignment horizontal="left"/>
    </xf>
    <xf numFmtId="0" fontId="3" fillId="0" borderId="0" xfId="0" applyFont="1" applyAlignment="1">
      <alignment horizontal="center"/>
    </xf>
    <xf numFmtId="0" fontId="4" fillId="0" borderId="0" xfId="0" applyFont="1" applyAlignment="1">
      <alignment horizontal="center"/>
    </xf>
    <xf numFmtId="0" fontId="0" fillId="0" borderId="2" xfId="0" applyBorder="1"/>
    <xf numFmtId="0" fontId="4" fillId="0" borderId="3" xfId="0" applyFont="1" applyBorder="1" applyAlignment="1">
      <alignment horizontal="center"/>
    </xf>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0" fillId="0" borderId="9" xfId="0" applyBorder="1"/>
    <xf numFmtId="0" fontId="3" fillId="0" borderId="0" xfId="0" applyFont="1" applyAlignment="1">
      <alignment horizontal="left"/>
    </xf>
    <xf numFmtId="0" fontId="5" fillId="0" borderId="3" xfId="0" applyFont="1" applyBorder="1"/>
    <xf numFmtId="0" fontId="0" fillId="0" borderId="0" xfId="0" applyAlignment="1">
      <alignment horizontal="center"/>
    </xf>
    <xf numFmtId="0" fontId="0" fillId="0" borderId="12" xfId="0" applyBorder="1"/>
    <xf numFmtId="0" fontId="6" fillId="0" borderId="3" xfId="0" applyFont="1" applyBorder="1"/>
    <xf numFmtId="0" fontId="0" fillId="2" borderId="6" xfId="0" applyFill="1" applyBorder="1"/>
    <xf numFmtId="0" fontId="7" fillId="0" borderId="20" xfId="0" applyFont="1" applyBorder="1" applyAlignment="1">
      <alignment horizontal="center"/>
    </xf>
    <xf numFmtId="0" fontId="11" fillId="0" borderId="20" xfId="0" applyFont="1" applyBorder="1" applyAlignment="1">
      <alignment horizontal="center"/>
    </xf>
    <xf numFmtId="0" fontId="0" fillId="0" borderId="20" xfId="0" applyBorder="1" applyAlignment="1">
      <alignment horizontal="center"/>
    </xf>
    <xf numFmtId="0" fontId="10" fillId="0" borderId="20" xfId="0" applyFont="1" applyBorder="1"/>
    <xf numFmtId="0" fontId="12" fillId="0" borderId="0" xfId="0" applyFont="1" applyAlignment="1">
      <alignment vertical="center"/>
    </xf>
    <xf numFmtId="0" fontId="0" fillId="0" borderId="0" xfId="0" applyProtection="1">
      <protection hidden="1"/>
    </xf>
    <xf numFmtId="0" fontId="0" fillId="0" borderId="3" xfId="0" applyBorder="1" applyProtection="1">
      <protection hidden="1"/>
    </xf>
    <xf numFmtId="0" fontId="11" fillId="0" borderId="20" xfId="0" quotePrefix="1" applyFont="1" applyBorder="1" applyAlignment="1">
      <alignment horizontal="center"/>
    </xf>
    <xf numFmtId="0" fontId="13" fillId="0" borderId="0" xfId="0" applyFont="1"/>
    <xf numFmtId="0" fontId="0" fillId="0" borderId="11" xfId="0" applyBorder="1"/>
    <xf numFmtId="0" fontId="0" fillId="0" borderId="0" xfId="0" applyAlignment="1">
      <alignment horizontal="left" vertical="center"/>
    </xf>
    <xf numFmtId="0" fontId="0" fillId="2" borderId="5" xfId="0" applyFill="1" applyBorder="1"/>
    <xf numFmtId="0" fontId="0" fillId="0" borderId="3" xfId="0" applyBorder="1" applyAlignment="1">
      <alignment vertical="top"/>
    </xf>
    <xf numFmtId="0" fontId="0" fillId="0" borderId="0" xfId="0" applyAlignment="1">
      <alignment vertical="top"/>
    </xf>
    <xf numFmtId="0" fontId="5" fillId="0" borderId="3" xfId="0" applyFont="1" applyBorder="1" applyAlignment="1">
      <alignment horizontal="center"/>
    </xf>
    <xf numFmtId="0" fontId="5" fillId="0" borderId="0" xfId="0" applyFont="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7" fillId="0" borderId="8" xfId="0" applyFont="1" applyBorder="1" applyAlignment="1" applyProtection="1">
      <alignment vertical="center" wrapText="1"/>
      <protection hidden="1"/>
    </xf>
    <xf numFmtId="0" fontId="7" fillId="0" borderId="0" xfId="0" applyFont="1" applyAlignment="1" applyProtection="1">
      <alignment vertical="center" wrapText="1"/>
      <protection hidden="1"/>
    </xf>
    <xf numFmtId="0" fontId="0" fillId="0" borderId="0" xfId="0" applyAlignment="1" applyProtection="1">
      <alignment horizontal="center"/>
      <protection hidden="1"/>
    </xf>
    <xf numFmtId="0" fontId="0" fillId="0" borderId="4" xfId="0" applyBorder="1" applyAlignment="1">
      <alignment horizontal="left" vertical="center"/>
    </xf>
    <xf numFmtId="0" fontId="0" fillId="0" borderId="3" xfId="0" applyBorder="1" applyAlignment="1">
      <alignment vertical="center"/>
    </xf>
    <xf numFmtId="0" fontId="0" fillId="0" borderId="0" xfId="0" applyAlignment="1">
      <alignment vertical="center"/>
    </xf>
    <xf numFmtId="0" fontId="0" fillId="0" borderId="2" xfId="0" applyBorder="1" applyAlignment="1">
      <alignment vertical="center"/>
    </xf>
    <xf numFmtId="0" fontId="0" fillId="0" borderId="3"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3" xfId="0" applyBorder="1" applyAlignment="1">
      <alignment horizontal="left" vertical="center" wrapText="1"/>
    </xf>
    <xf numFmtId="0" fontId="0" fillId="0" borderId="0" xfId="0" applyAlignment="1">
      <alignment horizontal="left" vertical="center" wrapText="1"/>
    </xf>
    <xf numFmtId="0" fontId="0" fillId="0" borderId="0" xfId="0" applyAlignment="1">
      <alignment wrapText="1"/>
    </xf>
    <xf numFmtId="0" fontId="0" fillId="0" borderId="0" xfId="0" applyAlignment="1">
      <alignment horizontal="left" wrapText="1"/>
    </xf>
    <xf numFmtId="0" fontId="18" fillId="0" borderId="0" xfId="0" applyFont="1"/>
    <xf numFmtId="0" fontId="0" fillId="7" borderId="0" xfId="0" applyFill="1"/>
    <xf numFmtId="0" fontId="0" fillId="0" borderId="20" xfId="0" applyBorder="1"/>
    <xf numFmtId="0" fontId="5" fillId="0" borderId="0" xfId="0" applyFont="1"/>
    <xf numFmtId="0" fontId="11" fillId="8" borderId="20" xfId="0" applyFont="1" applyFill="1" applyBorder="1" applyAlignment="1">
      <alignment horizontal="center"/>
    </xf>
    <xf numFmtId="0" fontId="0" fillId="8" borderId="20" xfId="0" applyFill="1" applyBorder="1" applyAlignment="1">
      <alignment horizontal="center"/>
    </xf>
    <xf numFmtId="0" fontId="0" fillId="8" borderId="0" xfId="0" applyFill="1"/>
    <xf numFmtId="165" fontId="3" fillId="0" borderId="0" xfId="0" applyNumberFormat="1" applyFont="1" applyAlignment="1">
      <alignment horizontal="left" vertical="center"/>
    </xf>
    <xf numFmtId="166" fontId="3" fillId="0" borderId="0" xfId="0" applyNumberFormat="1" applyFont="1" applyAlignment="1">
      <alignment horizontal="left"/>
    </xf>
    <xf numFmtId="0" fontId="0" fillId="0" borderId="0" xfId="0" applyAlignment="1">
      <alignment horizontal="right"/>
    </xf>
    <xf numFmtId="0" fontId="0" fillId="0" borderId="0" xfId="0" applyAlignment="1">
      <alignment vertical="center" wrapText="1"/>
    </xf>
    <xf numFmtId="0" fontId="0" fillId="0" borderId="2" xfId="0" applyBorder="1" applyAlignment="1">
      <alignment vertical="center" wrapText="1"/>
    </xf>
    <xf numFmtId="0" fontId="16" fillId="0" borderId="0" xfId="0" quotePrefix="1" applyFont="1"/>
    <xf numFmtId="0" fontId="0" fillId="4" borderId="0" xfId="0" applyFill="1"/>
    <xf numFmtId="0" fontId="0" fillId="0" borderId="26" xfId="0" applyBorder="1"/>
    <xf numFmtId="0" fontId="22" fillId="0" borderId="0" xfId="0" applyFont="1" applyAlignment="1">
      <alignment horizontal="center"/>
    </xf>
    <xf numFmtId="0" fontId="3" fillId="0" borderId="0" xfId="0" applyFont="1" applyAlignment="1">
      <alignment vertical="center"/>
    </xf>
    <xf numFmtId="0" fontId="0" fillId="0" borderId="0" xfId="0" applyAlignment="1">
      <alignment horizontal="left"/>
    </xf>
    <xf numFmtId="0" fontId="14" fillId="0" borderId="0" xfId="0" applyFont="1" applyAlignment="1">
      <alignment horizontal="left"/>
    </xf>
    <xf numFmtId="0" fontId="5" fillId="9" borderId="20" xfId="0" applyFont="1" applyFill="1" applyBorder="1" applyAlignment="1">
      <alignment horizontal="center"/>
    </xf>
    <xf numFmtId="0" fontId="0" fillId="0" borderId="20" xfId="0" applyBorder="1" applyAlignment="1">
      <alignment wrapText="1"/>
    </xf>
    <xf numFmtId="14" fontId="0" fillId="0" borderId="20" xfId="0" applyNumberFormat="1" applyBorder="1" applyAlignment="1">
      <alignment horizontal="center"/>
    </xf>
    <xf numFmtId="0" fontId="0" fillId="0" borderId="20" xfId="0" applyBorder="1" applyAlignment="1">
      <alignment horizontal="center" wrapText="1"/>
    </xf>
    <xf numFmtId="0" fontId="0" fillId="0" borderId="0" xfId="0" applyAlignment="1">
      <alignment horizontal="center" vertical="center"/>
    </xf>
    <xf numFmtId="0" fontId="0" fillId="4" borderId="0" xfId="0" applyFill="1" applyAlignment="1">
      <alignment horizontal="center" vertical="center"/>
    </xf>
    <xf numFmtId="0" fontId="5" fillId="10" borderId="30" xfId="0" applyFont="1" applyFill="1" applyBorder="1" applyAlignment="1">
      <alignment horizontal="center" vertical="center"/>
    </xf>
    <xf numFmtId="49" fontId="25" fillId="10" borderId="31" xfId="0" applyNumberFormat="1" applyFont="1" applyFill="1" applyBorder="1" applyAlignment="1">
      <alignment horizontal="center" vertical="center"/>
    </xf>
    <xf numFmtId="49" fontId="25" fillId="10" borderId="31" xfId="0" applyNumberFormat="1" applyFont="1" applyFill="1" applyBorder="1" applyAlignment="1">
      <alignment horizontal="center" vertical="center" wrapText="1"/>
    </xf>
    <xf numFmtId="0" fontId="26" fillId="11" borderId="32" xfId="0" applyFont="1" applyFill="1" applyBorder="1" applyAlignment="1">
      <alignment horizontal="center" vertical="center"/>
    </xf>
    <xf numFmtId="0" fontId="26" fillId="11" borderId="33" xfId="0" applyFont="1" applyFill="1" applyBorder="1" applyAlignment="1">
      <alignment horizontal="center" vertical="center"/>
    </xf>
    <xf numFmtId="0" fontId="26" fillId="11" borderId="33" xfId="0" applyFont="1" applyFill="1" applyBorder="1" applyAlignment="1">
      <alignment horizontal="center" vertical="center" wrapText="1"/>
    </xf>
    <xf numFmtId="0" fontId="25" fillId="10" borderId="31" xfId="0" applyFont="1" applyFill="1" applyBorder="1" applyAlignment="1">
      <alignment horizontal="center" vertical="center"/>
    </xf>
    <xf numFmtId="0" fontId="5" fillId="4" borderId="0" xfId="0" applyFont="1" applyFill="1" applyAlignment="1">
      <alignment horizontal="left" vertical="center"/>
    </xf>
    <xf numFmtId="0" fontId="5" fillId="4" borderId="0" xfId="0" applyFont="1" applyFill="1" applyAlignment="1">
      <alignment vertical="center"/>
    </xf>
    <xf numFmtId="0" fontId="0" fillId="4" borderId="0" xfId="0" applyFill="1" applyAlignment="1">
      <alignment vertical="center"/>
    </xf>
    <xf numFmtId="0" fontId="0" fillId="4" borderId="0" xfId="0" applyFill="1" applyAlignment="1">
      <alignment horizontal="left" vertical="center"/>
    </xf>
    <xf numFmtId="0" fontId="5" fillId="0" borderId="2" xfId="0" applyFont="1" applyBorder="1" applyAlignment="1">
      <alignment vertical="center" wrapText="1"/>
    </xf>
    <xf numFmtId="0" fontId="0" fillId="0" borderId="3" xfId="0" applyBorder="1" applyAlignment="1">
      <alignment vertical="center" wrapText="1"/>
    </xf>
    <xf numFmtId="14" fontId="0" fillId="0" borderId="20" xfId="0" applyNumberFormat="1" applyBorder="1"/>
    <xf numFmtId="0" fontId="5" fillId="12" borderId="20" xfId="0" applyFont="1" applyFill="1" applyBorder="1" applyAlignment="1">
      <alignment horizontal="center" vertical="center"/>
    </xf>
    <xf numFmtId="0" fontId="0" fillId="12" borderId="20" xfId="0" applyFill="1" applyBorder="1" applyAlignment="1">
      <alignment horizontal="center" vertical="center"/>
    </xf>
    <xf numFmtId="0" fontId="0" fillId="12" borderId="34" xfId="0" applyFill="1" applyBorder="1" applyAlignment="1">
      <alignment horizontal="center" vertical="center"/>
    </xf>
    <xf numFmtId="0" fontId="24" fillId="4" borderId="3" xfId="2" applyFill="1" applyBorder="1" applyAlignment="1">
      <alignment horizontal="center"/>
    </xf>
    <xf numFmtId="0" fontId="24" fillId="4" borderId="0" xfId="2" applyFill="1" applyBorder="1" applyAlignment="1">
      <alignment horizontal="center"/>
    </xf>
    <xf numFmtId="0" fontId="0" fillId="0" borderId="38" xfId="0" applyBorder="1" applyAlignment="1">
      <alignment horizontal="center"/>
    </xf>
    <xf numFmtId="14" fontId="0" fillId="0" borderId="0" xfId="0" applyNumberFormat="1"/>
    <xf numFmtId="0" fontId="0" fillId="0" borderId="38" xfId="0" applyBorder="1" applyAlignment="1">
      <alignment wrapText="1"/>
    </xf>
    <xf numFmtId="0" fontId="0" fillId="0" borderId="3" xfId="0" applyBorder="1" applyAlignment="1">
      <alignment horizontal="center"/>
    </xf>
    <xf numFmtId="0" fontId="0" fillId="0" borderId="2" xfId="0" applyBorder="1" applyAlignment="1">
      <alignment horizontal="center"/>
    </xf>
    <xf numFmtId="0" fontId="3" fillId="0" borderId="0" xfId="0" applyFont="1" applyAlignment="1" applyProtection="1">
      <alignment horizontal="left"/>
      <protection locked="0"/>
    </xf>
    <xf numFmtId="0" fontId="9" fillId="0" borderId="0" xfId="0" applyFont="1"/>
    <xf numFmtId="1" fontId="3" fillId="0" borderId="0" xfId="1" applyNumberFormat="1" applyFont="1" applyBorder="1" applyAlignment="1" applyProtection="1">
      <alignment horizontal="center"/>
      <protection locked="0"/>
    </xf>
    <xf numFmtId="0" fontId="9" fillId="0" borderId="0" xfId="0" applyFont="1" applyAlignment="1">
      <alignment horizontal="center" wrapText="1"/>
    </xf>
    <xf numFmtId="0" fontId="9" fillId="0" borderId="0" xfId="0" applyFont="1" applyAlignment="1">
      <alignment wrapText="1"/>
    </xf>
    <xf numFmtId="0" fontId="28" fillId="0" borderId="3" xfId="0" applyFont="1" applyBorder="1"/>
    <xf numFmtId="0" fontId="6" fillId="0" borderId="0" xfId="0" applyFont="1" applyAlignment="1">
      <alignment horizontal="left" vertical="center"/>
    </xf>
    <xf numFmtId="0" fontId="20" fillId="0" borderId="20" xfId="0" applyFont="1" applyBorder="1" applyAlignment="1">
      <alignment horizontal="left" vertical="center"/>
    </xf>
    <xf numFmtId="44" fontId="0" fillId="0" borderId="20" xfId="3" applyFont="1" applyBorder="1"/>
    <xf numFmtId="0" fontId="0" fillId="0" borderId="2" xfId="0" applyBorder="1" applyAlignment="1">
      <alignment horizontal="left" vertical="center"/>
    </xf>
    <xf numFmtId="0" fontId="0" fillId="0" borderId="3" xfId="0" applyBorder="1" applyAlignment="1">
      <alignment horizontal="left" wrapText="1"/>
    </xf>
    <xf numFmtId="0" fontId="13" fillId="0" borderId="8" xfId="0" applyFont="1" applyBorder="1"/>
    <xf numFmtId="0" fontId="0" fillId="0" borderId="39" xfId="0" applyBorder="1" applyAlignment="1">
      <alignment horizontal="center" vertical="center" wrapText="1"/>
    </xf>
    <xf numFmtId="0" fontId="0" fillId="0" borderId="3"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20" xfId="0" applyBorder="1" applyAlignment="1">
      <alignment horizontal="left" vertical="center"/>
    </xf>
    <xf numFmtId="0" fontId="0" fillId="0" borderId="42" xfId="0" applyBorder="1"/>
    <xf numFmtId="0" fontId="0" fillId="5" borderId="1" xfId="0" applyFill="1" applyBorder="1" applyAlignment="1">
      <alignment horizontal="left"/>
    </xf>
    <xf numFmtId="0" fontId="9" fillId="0" borderId="0" xfId="0" applyFont="1" applyAlignment="1">
      <alignment horizontal="left"/>
    </xf>
    <xf numFmtId="0" fontId="0" fillId="0" borderId="0" xfId="0" applyAlignment="1">
      <alignment horizontal="center" vertical="center" wrapText="1"/>
    </xf>
    <xf numFmtId="0" fontId="0" fillId="0" borderId="39" xfId="0" applyBorder="1" applyAlignment="1" applyProtection="1">
      <alignment horizontal="center" vertical="center" wrapText="1"/>
      <protection locked="0"/>
    </xf>
    <xf numFmtId="0" fontId="0" fillId="0" borderId="3" xfId="0" applyBorder="1" applyAlignment="1">
      <alignment horizontal="left" vertical="center" wrapText="1"/>
    </xf>
    <xf numFmtId="0" fontId="0" fillId="0" borderId="0" xfId="0" applyAlignment="1">
      <alignment horizontal="left" vertical="center" wrapText="1"/>
    </xf>
    <xf numFmtId="0" fontId="3" fillId="0" borderId="13"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0" fillId="0" borderId="0" xfId="0" applyFont="1" applyAlignment="1">
      <alignment horizontal="center" wrapText="1"/>
    </xf>
    <xf numFmtId="0" fontId="14" fillId="0" borderId="13" xfId="0" applyFont="1" applyBorder="1" applyAlignment="1" applyProtection="1">
      <alignment horizontal="left"/>
      <protection locked="0"/>
    </xf>
    <xf numFmtId="0" fontId="14" fillId="0" borderId="14" xfId="0" applyFont="1" applyBorder="1" applyAlignment="1" applyProtection="1">
      <alignment horizontal="left"/>
      <protection locked="0"/>
    </xf>
    <xf numFmtId="0" fontId="14" fillId="0" borderId="15" xfId="0" applyFont="1" applyBorder="1" applyAlignment="1" applyProtection="1">
      <alignment horizontal="left"/>
      <protection locked="0"/>
    </xf>
    <xf numFmtId="0" fontId="4" fillId="2" borderId="10" xfId="0" applyFont="1" applyFill="1" applyBorder="1" applyAlignment="1">
      <alignment horizontal="center"/>
    </xf>
    <xf numFmtId="0" fontId="4" fillId="2" borderId="11" xfId="0" applyFont="1" applyFill="1" applyBorder="1" applyAlignment="1">
      <alignment horizontal="center"/>
    </xf>
    <xf numFmtId="0" fontId="4" fillId="2" borderId="6" xfId="0" applyFont="1" applyFill="1" applyBorder="1" applyAlignment="1">
      <alignment horizontal="center"/>
    </xf>
    <xf numFmtId="0" fontId="0" fillId="0" borderId="3" xfId="0" applyBorder="1" applyAlignment="1">
      <alignment horizontal="left" wrapText="1"/>
    </xf>
    <xf numFmtId="0" fontId="0" fillId="0" borderId="0" xfId="0" applyAlignment="1">
      <alignment horizontal="left" wrapText="1"/>
    </xf>
    <xf numFmtId="169" fontId="0" fillId="3" borderId="20" xfId="0" applyNumberFormat="1" applyFill="1" applyBorder="1" applyAlignment="1">
      <alignment horizontal="center" vertical="center" wrapText="1"/>
    </xf>
    <xf numFmtId="0" fontId="3" fillId="0" borderId="13" xfId="0" applyFont="1" applyBorder="1" applyAlignment="1" applyProtection="1">
      <alignment horizontal="center"/>
      <protection locked="0"/>
    </xf>
    <xf numFmtId="0" fontId="3" fillId="0" borderId="14" xfId="0" applyFont="1" applyBorder="1" applyAlignment="1" applyProtection="1">
      <alignment horizontal="center"/>
      <protection locked="0"/>
    </xf>
    <xf numFmtId="0" fontId="3" fillId="0" borderId="15" xfId="0" applyFont="1" applyBorder="1" applyAlignment="1" applyProtection="1">
      <alignment horizontal="center"/>
      <protection locked="0"/>
    </xf>
    <xf numFmtId="0" fontId="3" fillId="0" borderId="16" xfId="0" applyFont="1" applyBorder="1" applyAlignment="1" applyProtection="1">
      <alignment horizontal="center"/>
      <protection locked="0"/>
    </xf>
    <xf numFmtId="0" fontId="3" fillId="0" borderId="17" xfId="0" applyFont="1" applyBorder="1" applyAlignment="1" applyProtection="1">
      <alignment horizontal="center"/>
      <protection locked="0"/>
    </xf>
    <xf numFmtId="0" fontId="3" fillId="0" borderId="14" xfId="0" applyFont="1" applyBorder="1" applyAlignment="1" applyProtection="1">
      <alignment horizontal="left"/>
      <protection locked="0"/>
    </xf>
    <xf numFmtId="0" fontId="3" fillId="3" borderId="16" xfId="0" applyFont="1" applyFill="1" applyBorder="1" applyAlignment="1" applyProtection="1">
      <alignment horizontal="center"/>
      <protection hidden="1"/>
    </xf>
    <xf numFmtId="0" fontId="3" fillId="3" borderId="18" xfId="0" applyFont="1" applyFill="1" applyBorder="1" applyAlignment="1" applyProtection="1">
      <alignment horizontal="center"/>
      <protection hidden="1"/>
    </xf>
    <xf numFmtId="0" fontId="14" fillId="0" borderId="13" xfId="0" applyFont="1" applyBorder="1" applyAlignment="1" applyProtection="1">
      <alignment horizontal="left" vertical="center"/>
      <protection locked="0"/>
    </xf>
    <xf numFmtId="0" fontId="14" fillId="0" borderId="14" xfId="0" applyFont="1" applyBorder="1" applyAlignment="1" applyProtection="1">
      <alignment horizontal="left" vertical="center"/>
      <protection locked="0"/>
    </xf>
    <xf numFmtId="0" fontId="14" fillId="0" borderId="15" xfId="0" applyFont="1" applyBorder="1" applyAlignment="1" applyProtection="1">
      <alignment horizontal="left" vertical="center"/>
      <protection locked="0"/>
    </xf>
    <xf numFmtId="0" fontId="14" fillId="0" borderId="13" xfId="0" applyFont="1" applyBorder="1" applyAlignment="1" applyProtection="1">
      <alignment horizontal="left" shrinkToFit="1"/>
      <protection locked="0"/>
    </xf>
    <xf numFmtId="0" fontId="14" fillId="0" borderId="14" xfId="0" applyFont="1" applyBorder="1" applyAlignment="1" applyProtection="1">
      <alignment horizontal="left" shrinkToFit="1"/>
      <protection locked="0"/>
    </xf>
    <xf numFmtId="0" fontId="14" fillId="0" borderId="15" xfId="0" applyFont="1" applyBorder="1" applyAlignment="1" applyProtection="1">
      <alignment horizontal="left" shrinkToFit="1"/>
      <protection locked="0"/>
    </xf>
    <xf numFmtId="0" fontId="0" fillId="0" borderId="0" xfId="0" applyAlignment="1">
      <alignment horizontal="right"/>
    </xf>
    <xf numFmtId="0" fontId="0" fillId="0" borderId="12" xfId="0" applyBorder="1" applyAlignment="1">
      <alignment horizontal="right"/>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12" borderId="10" xfId="0" applyFill="1" applyBorder="1" applyAlignment="1">
      <alignment horizontal="center"/>
    </xf>
    <xf numFmtId="0" fontId="0" fillId="12" borderId="11" xfId="0" applyFill="1" applyBorder="1" applyAlignment="1">
      <alignment horizontal="center"/>
    </xf>
    <xf numFmtId="0" fontId="0" fillId="12" borderId="6" xfId="0" applyFill="1" applyBorder="1" applyAlignment="1">
      <alignment horizontal="center"/>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1" xfId="0" applyBorder="1" applyAlignment="1">
      <alignment horizontal="center"/>
    </xf>
    <xf numFmtId="0" fontId="7" fillId="0" borderId="8" xfId="0" applyFont="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7" fillId="0" borderId="0" xfId="0" applyFont="1" applyAlignment="1" applyProtection="1">
      <alignment horizontal="center" vertical="center" shrinkToFit="1"/>
      <protection hidden="1"/>
    </xf>
    <xf numFmtId="0" fontId="0" fillId="12" borderId="7" xfId="0" applyFill="1" applyBorder="1" applyAlignment="1">
      <alignment horizontal="center"/>
    </xf>
    <xf numFmtId="0" fontId="0" fillId="12" borderId="8" xfId="0" applyFill="1" applyBorder="1" applyAlignment="1">
      <alignment horizontal="center"/>
    </xf>
    <xf numFmtId="0" fontId="0" fillId="12" borderId="9" xfId="0" applyFill="1" applyBorder="1" applyAlignment="1">
      <alignment horizontal="center"/>
    </xf>
    <xf numFmtId="0" fontId="5" fillId="12" borderId="36" xfId="0" applyFont="1" applyFill="1" applyBorder="1" applyAlignment="1">
      <alignment horizontal="center"/>
    </xf>
    <xf numFmtId="0" fontId="5" fillId="12" borderId="35" xfId="0" applyFont="1" applyFill="1" applyBorder="1" applyAlignment="1">
      <alignment horizontal="center"/>
    </xf>
    <xf numFmtId="0" fontId="5" fillId="12" borderId="37" xfId="0" applyFont="1" applyFill="1" applyBorder="1" applyAlignment="1">
      <alignment horizontal="center"/>
    </xf>
    <xf numFmtId="0" fontId="0" fillId="0" borderId="20" xfId="0" applyBorder="1" applyAlignment="1" applyProtection="1">
      <alignment horizontal="center"/>
      <protection locked="0"/>
    </xf>
    <xf numFmtId="0" fontId="0" fillId="0" borderId="34" xfId="0" applyBorder="1" applyAlignment="1" applyProtection="1">
      <alignment horizontal="center"/>
      <protection locked="0"/>
    </xf>
    <xf numFmtId="0" fontId="5" fillId="12" borderId="20" xfId="0" applyFont="1" applyFill="1" applyBorder="1" applyAlignment="1">
      <alignment horizontal="center" vertical="center" wrapText="1"/>
    </xf>
    <xf numFmtId="0" fontId="5" fillId="12" borderId="20" xfId="0" applyFont="1" applyFill="1" applyBorder="1" applyAlignment="1">
      <alignment horizontal="center" vertical="center"/>
    </xf>
    <xf numFmtId="0" fontId="4" fillId="2" borderId="20" xfId="0" applyFont="1" applyFill="1" applyBorder="1" applyAlignment="1">
      <alignment horizontal="center"/>
    </xf>
    <xf numFmtId="0" fontId="5" fillId="4" borderId="7" xfId="0" applyFont="1" applyFill="1" applyBorder="1" applyAlignment="1">
      <alignment horizontal="center"/>
    </xf>
    <xf numFmtId="0" fontId="5" fillId="4" borderId="8" xfId="0" applyFont="1" applyFill="1" applyBorder="1" applyAlignment="1">
      <alignment horizontal="center"/>
    </xf>
    <xf numFmtId="0" fontId="0" fillId="4" borderId="3" xfId="0" applyFill="1" applyBorder="1" applyAlignment="1">
      <alignment horizontal="left" wrapText="1"/>
    </xf>
    <xf numFmtId="0" fontId="0" fillId="4" borderId="0" xfId="0" applyFill="1" applyAlignment="1">
      <alignment horizontal="left" wrapText="1"/>
    </xf>
    <xf numFmtId="0" fontId="0" fillId="0" borderId="4" xfId="0" applyBorder="1" applyAlignment="1">
      <alignment horizontal="center"/>
    </xf>
    <xf numFmtId="0" fontId="0" fillId="0" borderId="5" xfId="0" applyBorder="1" applyAlignment="1">
      <alignment horizontal="center"/>
    </xf>
    <xf numFmtId="0" fontId="3" fillId="0" borderId="16" xfId="0" applyFont="1" applyBorder="1" applyAlignment="1" applyProtection="1">
      <alignment horizontal="left"/>
      <protection locked="0"/>
    </xf>
    <xf numFmtId="0" fontId="3" fillId="0" borderId="18" xfId="0" applyFont="1" applyBorder="1" applyAlignment="1" applyProtection="1">
      <alignment horizontal="left"/>
      <protection locked="0"/>
    </xf>
    <xf numFmtId="0" fontId="3" fillId="0" borderId="17" xfId="0" applyFont="1" applyBorder="1" applyAlignment="1" applyProtection="1">
      <alignment horizontal="left"/>
      <protection locked="0"/>
    </xf>
    <xf numFmtId="0" fontId="3" fillId="4" borderId="13" xfId="0" applyFont="1" applyFill="1" applyBorder="1" applyAlignment="1" applyProtection="1">
      <alignment horizontal="center" vertical="center"/>
      <protection locked="0"/>
    </xf>
    <xf numFmtId="0" fontId="3" fillId="4" borderId="14" xfId="0" applyFont="1" applyFill="1" applyBorder="1" applyAlignment="1" applyProtection="1">
      <alignment horizontal="center" vertical="center"/>
      <protection locked="0"/>
    </xf>
    <xf numFmtId="0" fontId="3" fillId="4" borderId="15" xfId="0" applyFont="1" applyFill="1" applyBorder="1" applyAlignment="1" applyProtection="1">
      <alignment horizontal="center" vertical="center"/>
      <protection locked="0"/>
    </xf>
    <xf numFmtId="0" fontId="3" fillId="4" borderId="16" xfId="0" applyFont="1" applyFill="1" applyBorder="1" applyAlignment="1" applyProtection="1">
      <alignment horizontal="center"/>
      <protection locked="0"/>
    </xf>
    <xf numFmtId="0" fontId="3" fillId="4" borderId="17" xfId="0" applyFont="1" applyFill="1" applyBorder="1" applyAlignment="1" applyProtection="1">
      <alignment horizontal="center"/>
      <protection locked="0"/>
    </xf>
    <xf numFmtId="0" fontId="23" fillId="0" borderId="13" xfId="0" applyFont="1" applyBorder="1" applyAlignment="1" applyProtection="1">
      <alignment horizontal="center"/>
      <protection locked="0"/>
    </xf>
    <xf numFmtId="0" fontId="23" fillId="0" borderId="14" xfId="0" applyFont="1" applyBorder="1" applyAlignment="1" applyProtection="1">
      <alignment horizontal="center"/>
      <protection locked="0"/>
    </xf>
    <xf numFmtId="0" fontId="23" fillId="0" borderId="15" xfId="0" applyFont="1" applyBorder="1" applyAlignment="1" applyProtection="1">
      <alignment horizontal="center"/>
      <protection locked="0"/>
    </xf>
    <xf numFmtId="0" fontId="9" fillId="0" borderId="0" xfId="0" applyFont="1" applyAlignment="1">
      <alignment horizontal="center" vertical="center"/>
    </xf>
    <xf numFmtId="0" fontId="4" fillId="2" borderId="4" xfId="0" applyFont="1" applyFill="1" applyBorder="1" applyAlignment="1">
      <alignment horizontal="center"/>
    </xf>
    <xf numFmtId="0" fontId="4" fillId="2" borderId="1" xfId="0" applyFont="1" applyFill="1" applyBorder="1" applyAlignment="1">
      <alignment horizontal="center"/>
    </xf>
    <xf numFmtId="165" fontId="3" fillId="0" borderId="13" xfId="0" applyNumberFormat="1" applyFont="1" applyBorder="1" applyAlignment="1" applyProtection="1">
      <alignment horizontal="left" vertical="center"/>
      <protection locked="0"/>
    </xf>
    <xf numFmtId="165" fontId="3" fillId="0" borderId="14" xfId="0" applyNumberFormat="1" applyFont="1" applyBorder="1" applyAlignment="1" applyProtection="1">
      <alignment horizontal="left" vertical="center"/>
      <protection locked="0"/>
    </xf>
    <xf numFmtId="165" fontId="3" fillId="0" borderId="15" xfId="0" applyNumberFormat="1" applyFont="1" applyBorder="1" applyAlignment="1" applyProtection="1">
      <alignment horizontal="left" vertical="center"/>
      <protection locked="0"/>
    </xf>
    <xf numFmtId="0" fontId="3" fillId="3" borderId="13" xfId="0" applyFont="1" applyFill="1" applyBorder="1" applyAlignment="1" applyProtection="1">
      <alignment horizontal="center"/>
      <protection hidden="1"/>
    </xf>
    <xf numFmtId="0" fontId="3" fillId="3" borderId="15" xfId="0" applyFont="1" applyFill="1" applyBorder="1" applyAlignment="1" applyProtection="1">
      <alignment horizontal="center"/>
      <protection hidden="1"/>
    </xf>
    <xf numFmtId="0" fontId="3" fillId="0" borderId="13"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66" fontId="3" fillId="0" borderId="13" xfId="0" applyNumberFormat="1" applyFont="1" applyBorder="1" applyAlignment="1" applyProtection="1">
      <alignment horizontal="left"/>
      <protection locked="0"/>
    </xf>
    <xf numFmtId="166" fontId="3" fillId="0" borderId="14" xfId="0" applyNumberFormat="1" applyFont="1" applyBorder="1" applyAlignment="1" applyProtection="1">
      <alignment horizontal="left"/>
      <protection locked="0"/>
    </xf>
    <xf numFmtId="166" fontId="3" fillId="0" borderId="15" xfId="0" applyNumberFormat="1" applyFont="1" applyBorder="1" applyAlignment="1" applyProtection="1">
      <alignment horizontal="left"/>
      <protection locked="0"/>
    </xf>
    <xf numFmtId="0" fontId="3" fillId="0" borderId="13" xfId="0" applyFont="1" applyBorder="1" applyProtection="1">
      <protection locked="0"/>
    </xf>
    <xf numFmtId="0" fontId="3" fillId="0" borderId="14" xfId="0" applyFont="1" applyBorder="1" applyProtection="1">
      <protection locked="0"/>
    </xf>
    <xf numFmtId="0" fontId="3" fillId="0" borderId="15" xfId="0" applyFont="1" applyBorder="1" applyProtection="1">
      <protection locked="0"/>
    </xf>
    <xf numFmtId="0" fontId="29" fillId="0" borderId="0" xfId="0" applyFont="1" applyAlignment="1">
      <alignment horizontal="center" vertical="center" wrapText="1"/>
    </xf>
    <xf numFmtId="164" fontId="3" fillId="0" borderId="13" xfId="0" applyNumberFormat="1" applyFont="1" applyBorder="1" applyAlignment="1" applyProtection="1">
      <alignment horizontal="left"/>
      <protection locked="0"/>
    </xf>
    <xf numFmtId="164" fontId="3" fillId="0" borderId="14" xfId="0" applyNumberFormat="1" applyFont="1" applyBorder="1" applyAlignment="1" applyProtection="1">
      <alignment horizontal="left"/>
      <protection locked="0"/>
    </xf>
    <xf numFmtId="164" fontId="3" fillId="0" borderId="15" xfId="0" applyNumberFormat="1" applyFont="1" applyBorder="1" applyAlignment="1" applyProtection="1">
      <alignment horizontal="left"/>
      <protection locked="0"/>
    </xf>
    <xf numFmtId="167" fontId="3" fillId="0" borderId="13" xfId="0" applyNumberFormat="1" applyFont="1" applyBorder="1" applyAlignment="1" applyProtection="1">
      <alignment horizontal="center" vertical="center"/>
      <protection locked="0"/>
    </xf>
    <xf numFmtId="167" fontId="3" fillId="0" borderId="14" xfId="0" applyNumberFormat="1" applyFont="1" applyBorder="1" applyAlignment="1" applyProtection="1">
      <alignment horizontal="center" vertical="center"/>
      <protection locked="0"/>
    </xf>
    <xf numFmtId="167" fontId="3" fillId="0" borderId="15" xfId="0" applyNumberFormat="1" applyFont="1" applyBorder="1" applyAlignment="1" applyProtection="1">
      <alignment horizontal="center" vertical="center"/>
      <protection locked="0"/>
    </xf>
    <xf numFmtId="0" fontId="3" fillId="0" borderId="18" xfId="0" applyFont="1" applyBorder="1" applyAlignment="1" applyProtection="1">
      <alignment horizontal="center"/>
      <protection locked="0"/>
    </xf>
    <xf numFmtId="0" fontId="3" fillId="0" borderId="24" xfId="0" applyFont="1" applyBorder="1" applyAlignment="1" applyProtection="1">
      <alignment horizontal="center"/>
      <protection locked="0"/>
    </xf>
    <xf numFmtId="10" fontId="3" fillId="0" borderId="13" xfId="1" applyNumberFormat="1" applyFont="1" applyBorder="1" applyAlignment="1" applyProtection="1">
      <alignment horizontal="center"/>
      <protection locked="0"/>
    </xf>
    <xf numFmtId="10" fontId="3" fillId="0" borderId="14" xfId="1" applyNumberFormat="1" applyFont="1" applyBorder="1" applyAlignment="1" applyProtection="1">
      <alignment horizontal="center"/>
      <protection locked="0"/>
    </xf>
    <xf numFmtId="10" fontId="3" fillId="0" borderId="15" xfId="1" applyNumberFormat="1" applyFont="1" applyBorder="1" applyAlignment="1" applyProtection="1">
      <alignment horizontal="center"/>
      <protection locked="0"/>
    </xf>
    <xf numFmtId="0" fontId="0" fillId="0" borderId="0" xfId="0" applyAlignment="1">
      <alignment horizontal="center"/>
    </xf>
    <xf numFmtId="0" fontId="0" fillId="0" borderId="12" xfId="0" applyBorder="1" applyAlignment="1">
      <alignment horizontal="center"/>
    </xf>
    <xf numFmtId="0" fontId="5" fillId="0" borderId="4" xfId="0" applyFont="1" applyBorder="1" applyAlignment="1">
      <alignment horizontal="center" wrapText="1"/>
    </xf>
    <xf numFmtId="0" fontId="5" fillId="0" borderId="1" xfId="0" applyFont="1" applyBorder="1" applyAlignment="1">
      <alignment horizontal="center" wrapText="1"/>
    </xf>
    <xf numFmtId="0" fontId="9" fillId="0" borderId="0" xfId="0" applyFont="1" applyAlignment="1">
      <alignment horizontal="center" wrapText="1"/>
    </xf>
    <xf numFmtId="0" fontId="9" fillId="0" borderId="41" xfId="0" applyFont="1" applyBorder="1" applyAlignment="1">
      <alignment horizontal="center" wrapText="1"/>
    </xf>
    <xf numFmtId="0" fontId="9" fillId="0" borderId="42" xfId="0" applyFont="1" applyBorder="1" applyAlignment="1">
      <alignment horizontal="center" wrapText="1"/>
    </xf>
    <xf numFmtId="0" fontId="9" fillId="0" borderId="43" xfId="0" applyFont="1" applyBorder="1" applyAlignment="1">
      <alignment horizontal="center" wrapText="1"/>
    </xf>
    <xf numFmtId="0" fontId="9" fillId="0" borderId="40" xfId="0" applyFont="1" applyBorder="1" applyAlignment="1">
      <alignment horizontal="center" wrapText="1"/>
    </xf>
    <xf numFmtId="0" fontId="9" fillId="0" borderId="44" xfId="0" applyFont="1" applyBorder="1" applyAlignment="1">
      <alignment horizontal="center" wrapText="1"/>
    </xf>
    <xf numFmtId="0" fontId="5" fillId="5" borderId="0" xfId="0" applyFont="1" applyFill="1" applyAlignment="1">
      <alignment horizontal="center" vertical="center"/>
    </xf>
    <xf numFmtId="0" fontId="14" fillId="0" borderId="28" xfId="0" applyFont="1" applyBorder="1" applyAlignment="1" applyProtection="1">
      <alignment horizontal="left"/>
      <protection locked="0"/>
    </xf>
    <xf numFmtId="0" fontId="14" fillId="0" borderId="27" xfId="0" applyFont="1" applyBorder="1" applyAlignment="1" applyProtection="1">
      <alignment horizontal="left"/>
      <protection locked="0"/>
    </xf>
    <xf numFmtId="0" fontId="14" fillId="0" borderId="29" xfId="0" applyFont="1" applyBorder="1" applyAlignment="1" applyProtection="1">
      <alignment horizontal="left"/>
      <protection locked="0"/>
    </xf>
    <xf numFmtId="0" fontId="3" fillId="0" borderId="45" xfId="0" applyFont="1" applyBorder="1" applyAlignment="1" applyProtection="1">
      <alignment horizontal="center"/>
      <protection locked="0"/>
    </xf>
    <xf numFmtId="0" fontId="3" fillId="0" borderId="46" xfId="0" applyFont="1" applyBorder="1" applyAlignment="1" applyProtection="1">
      <alignment horizontal="center"/>
      <protection locked="0"/>
    </xf>
    <xf numFmtId="0" fontId="0" fillId="5" borderId="1" xfId="0" applyFill="1" applyBorder="1" applyAlignment="1">
      <alignment horizontal="left"/>
    </xf>
    <xf numFmtId="0" fontId="0" fillId="5" borderId="25" xfId="0" applyFill="1" applyBorder="1" applyAlignment="1">
      <alignment horizontal="left"/>
    </xf>
    <xf numFmtId="0" fontId="3" fillId="0" borderId="24" xfId="0" applyFont="1" applyBorder="1" applyAlignment="1" applyProtection="1">
      <alignment horizontal="left"/>
      <protection locked="0"/>
    </xf>
    <xf numFmtId="0" fontId="20" fillId="0" borderId="0" xfId="0" applyFont="1" applyAlignment="1">
      <alignment horizontal="center"/>
    </xf>
    <xf numFmtId="0" fontId="20" fillId="0" borderId="12" xfId="0" applyFont="1" applyBorder="1" applyAlignment="1">
      <alignment horizontal="center"/>
    </xf>
    <xf numFmtId="168" fontId="3" fillId="0" borderId="13" xfId="1" applyNumberFormat="1" applyFont="1" applyBorder="1" applyAlignment="1" applyProtection="1">
      <alignment horizontal="center"/>
      <protection locked="0"/>
    </xf>
    <xf numFmtId="168" fontId="3" fillId="0" borderId="14" xfId="1" applyNumberFormat="1" applyFont="1" applyBorder="1" applyAlignment="1" applyProtection="1">
      <alignment horizontal="center"/>
      <protection locked="0"/>
    </xf>
    <xf numFmtId="168" fontId="3" fillId="0" borderId="15" xfId="1" applyNumberFormat="1" applyFont="1" applyBorder="1" applyAlignment="1" applyProtection="1">
      <alignment horizontal="center"/>
      <protection locked="0"/>
    </xf>
    <xf numFmtId="1" fontId="3" fillId="0" borderId="13" xfId="1" applyNumberFormat="1" applyFont="1" applyBorder="1" applyAlignment="1" applyProtection="1">
      <alignment horizontal="center"/>
      <protection locked="0"/>
    </xf>
    <xf numFmtId="1" fontId="3" fillId="0" borderId="14" xfId="1" applyNumberFormat="1" applyFont="1" applyBorder="1" applyAlignment="1" applyProtection="1">
      <alignment horizontal="center"/>
      <protection locked="0"/>
    </xf>
    <xf numFmtId="1" fontId="3" fillId="0" borderId="15" xfId="1" applyNumberFormat="1" applyFont="1" applyBorder="1" applyAlignment="1" applyProtection="1">
      <alignment horizontal="center"/>
      <protection locked="0"/>
    </xf>
    <xf numFmtId="0" fontId="29" fillId="0" borderId="0" xfId="0" applyFont="1" applyAlignment="1">
      <alignment horizontal="left" wrapText="1"/>
    </xf>
    <xf numFmtId="0" fontId="0" fillId="0" borderId="19" xfId="0" applyBorder="1" applyAlignment="1">
      <alignment horizontal="right"/>
    </xf>
    <xf numFmtId="0" fontId="3" fillId="0" borderId="21" xfId="0" applyFont="1" applyBorder="1" applyAlignment="1" applyProtection="1">
      <alignment horizontal="left" vertical="center"/>
      <protection locked="0"/>
    </xf>
    <xf numFmtId="0" fontId="3" fillId="0" borderId="22"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20" fillId="4" borderId="3" xfId="2" applyFont="1" applyFill="1" applyBorder="1" applyAlignment="1">
      <alignment horizontal="left" wrapText="1"/>
    </xf>
    <xf numFmtId="0" fontId="20" fillId="4" borderId="0" xfId="2" applyFont="1" applyFill="1" applyBorder="1" applyAlignment="1">
      <alignment horizontal="left" wrapText="1"/>
    </xf>
    <xf numFmtId="0" fontId="20" fillId="4" borderId="4" xfId="2" applyFont="1" applyFill="1" applyBorder="1" applyAlignment="1">
      <alignment horizontal="left" wrapText="1"/>
    </xf>
    <xf numFmtId="0" fontId="20" fillId="4" borderId="1" xfId="2" applyFont="1" applyFill="1" applyBorder="1" applyAlignment="1">
      <alignment horizontal="left" wrapText="1"/>
    </xf>
    <xf numFmtId="0" fontId="24" fillId="4" borderId="3" xfId="2" applyFill="1" applyBorder="1" applyAlignment="1">
      <alignment horizontal="center"/>
    </xf>
    <xf numFmtId="0" fontId="24" fillId="4" borderId="0" xfId="2" applyFill="1" applyBorder="1" applyAlignment="1">
      <alignment horizontal="center"/>
    </xf>
    <xf numFmtId="0" fontId="0" fillId="0" borderId="4" xfId="0" applyBorder="1" applyAlignment="1">
      <alignment horizontal="left" vertical="center" wrapText="1"/>
    </xf>
    <xf numFmtId="0" fontId="0" fillId="0" borderId="1" xfId="0"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3"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11" xfId="0" applyBorder="1" applyAlignment="1">
      <alignment horizontal="left"/>
    </xf>
    <xf numFmtId="0" fontId="0" fillId="0" borderId="6" xfId="0" applyBorder="1" applyAlignment="1">
      <alignment horizontal="left"/>
    </xf>
    <xf numFmtId="0" fontId="0" fillId="0" borderId="3" xfId="0" applyBorder="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0" xfId="0" applyAlignment="1" applyProtection="1">
      <alignment horizontal="left" vertical="top" wrapText="1"/>
      <protection hidden="1"/>
    </xf>
    <xf numFmtId="0" fontId="0" fillId="0" borderId="11" xfId="0" applyBorder="1" applyAlignment="1">
      <alignment horizontal="center"/>
    </xf>
    <xf numFmtId="0" fontId="0" fillId="0" borderId="10" xfId="0" applyBorder="1" applyAlignment="1">
      <alignment horizontal="center"/>
    </xf>
    <xf numFmtId="0" fontId="0" fillId="6" borderId="11" xfId="0" applyFill="1" applyBorder="1" applyAlignment="1">
      <alignment horizontal="center"/>
    </xf>
    <xf numFmtId="0" fontId="0" fillId="6" borderId="10" xfId="0" applyFill="1" applyBorder="1" applyAlignment="1">
      <alignment horizontal="center"/>
    </xf>
    <xf numFmtId="0" fontId="0" fillId="0" borderId="0" xfId="0" applyAlignment="1">
      <alignment wrapText="1"/>
    </xf>
    <xf numFmtId="0" fontId="7" fillId="0" borderId="20" xfId="0" applyFont="1" applyBorder="1" applyAlignment="1">
      <alignment horizontal="center"/>
    </xf>
    <xf numFmtId="0" fontId="7" fillId="0" borderId="20" xfId="0" applyFont="1" applyBorder="1" applyAlignment="1">
      <alignment horizontal="center" vertical="center"/>
    </xf>
    <xf numFmtId="0" fontId="10" fillId="0" borderId="20" xfId="0" applyFont="1" applyBorder="1" applyAlignment="1">
      <alignment horizontal="center"/>
    </xf>
  </cellXfs>
  <cellStyles count="4">
    <cellStyle name="Hiperlink" xfId="2" builtinId="8"/>
    <cellStyle name="Moeda" xfId="3" builtinId="4"/>
    <cellStyle name="Normal" xfId="0" builtinId="0"/>
    <cellStyle name="Porcentagem" xfId="1" builtinId="5"/>
  </cellStyles>
  <dxfs count="60">
    <dxf>
      <font>
        <color theme="0"/>
      </font>
      <fill>
        <patternFill>
          <bgColor theme="0"/>
        </patternFill>
      </fill>
      <border>
        <left/>
        <right/>
        <top/>
        <bottom/>
        <vertical/>
        <horizontal/>
      </border>
    </dxf>
    <dxf>
      <font>
        <b/>
        <i val="0"/>
        <color theme="0"/>
      </font>
      <fill>
        <patternFill>
          <bgColor rgb="FFFF0000"/>
        </patternFill>
      </fill>
    </dxf>
    <dxf>
      <font>
        <b/>
        <i val="0"/>
        <color theme="0"/>
      </font>
      <fill>
        <patternFill>
          <bgColor rgb="FFFF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top/>
        <bottom/>
      </border>
    </dxf>
    <dxf>
      <font>
        <color theme="0"/>
      </font>
      <fill>
        <patternFill>
          <bgColor theme="0"/>
        </patternFill>
      </fill>
      <border>
        <left/>
        <right/>
        <top/>
        <bottom/>
        <vertical/>
        <horizontal/>
      </border>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border>
        <left/>
        <right/>
        <top/>
        <bottom/>
      </border>
    </dxf>
    <dxf>
      <font>
        <color theme="0"/>
      </font>
      <fill>
        <patternFill>
          <bgColor theme="0"/>
        </patternFill>
      </fill>
      <border>
        <left/>
        <right/>
        <top/>
        <bottom/>
        <vertical/>
        <horizontal/>
      </border>
    </dxf>
    <dxf>
      <font>
        <b/>
        <i val="0"/>
        <color theme="0"/>
      </font>
      <fill>
        <patternFill>
          <bgColor rgb="FFFF0000"/>
        </patternFill>
      </fill>
    </dxf>
    <dxf>
      <font>
        <b/>
        <i val="0"/>
        <color theme="0"/>
      </font>
      <fill>
        <patternFill>
          <bgColor rgb="FFFF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FF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right/>
        <top/>
        <bottom/>
      </border>
    </dxf>
    <dxf>
      <border>
        <left/>
        <right/>
        <top/>
        <bottom/>
      </border>
    </dxf>
    <dxf>
      <fill>
        <patternFill patternType="solid">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border>
        <left/>
        <right/>
        <top/>
        <bottom/>
      </border>
    </dxf>
    <dxf>
      <font>
        <b/>
        <i val="0"/>
        <color theme="0"/>
      </font>
      <fill>
        <patternFill>
          <bgColor rgb="FFFF0000"/>
        </patternFill>
      </fill>
    </dxf>
    <dxf>
      <font>
        <color theme="0"/>
      </font>
      <fill>
        <patternFill>
          <fgColor theme="0"/>
          <bgColor theme="0"/>
        </patternFill>
      </fill>
      <border>
        <left style="hair">
          <color theme="0"/>
        </left>
        <right style="hair">
          <color theme="0"/>
        </right>
        <top style="hair">
          <color theme="0"/>
        </top>
        <bottom style="hair">
          <color theme="0"/>
        </bottom>
      </border>
    </dxf>
    <dxf>
      <font>
        <color theme="0"/>
      </font>
      <fill>
        <patternFill>
          <fgColor theme="0"/>
          <bgColor theme="0"/>
        </patternFill>
      </fill>
      <border>
        <left style="hair">
          <color theme="0"/>
        </left>
        <right style="hair">
          <color theme="0"/>
        </right>
        <top style="hair">
          <color theme="0"/>
        </top>
        <bottom style="hair">
          <color theme="0"/>
        </bottom>
      </border>
    </dxf>
    <dxf>
      <font>
        <b/>
        <i val="0"/>
        <color theme="0"/>
      </font>
      <fill>
        <patternFill>
          <bgColor rgb="FFFF0000"/>
        </patternFill>
      </fill>
    </dxf>
    <dxf>
      <font>
        <color theme="0"/>
      </font>
      <fill>
        <patternFill>
          <bgColor theme="0"/>
        </patternFill>
      </fill>
      <border>
        <left/>
        <right/>
        <top/>
        <bottom/>
        <vertical/>
        <horizontal/>
      </border>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ill>
        <patternFill patternType="solid">
          <bgColor theme="0"/>
        </patternFill>
      </fill>
      <border>
        <left/>
        <right/>
        <top/>
        <bottom/>
      </border>
    </dxf>
    <dxf>
      <font>
        <color theme="0"/>
      </font>
      <fill>
        <patternFill>
          <fgColor theme="0"/>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dxf>
    <dxf>
      <font>
        <color theme="0"/>
      </font>
      <fill>
        <patternFill>
          <bgColor theme="0"/>
        </patternFill>
      </fill>
      <border>
        <left/>
        <right/>
        <top/>
        <bottom/>
        <vertical/>
        <horizontal/>
      </border>
    </dxf>
    <dxf>
      <font>
        <color theme="0"/>
      </font>
      <fill>
        <patternFill>
          <bgColor theme="0"/>
        </patternFill>
      </fill>
    </dxf>
    <dxf>
      <font>
        <color theme="0"/>
      </font>
      <fill>
        <patternFill>
          <bgColor theme="0"/>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top/>
        <bottom/>
        <vertical/>
        <horizontal/>
      </border>
    </dxf>
    <dxf>
      <font>
        <color theme="0"/>
      </font>
      <fill>
        <patternFill>
          <bgColor theme="0"/>
        </patternFill>
      </fill>
      <border>
        <left/>
        <right/>
        <top/>
        <bottom/>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Medium9"/>
  <colors>
    <mruColors>
      <color rgb="FFFBC8AB"/>
      <color rgb="FFF9B691"/>
      <color rgb="FFF69660"/>
      <color rgb="FFF476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123825</xdr:colOff>
      <xdr:row>1</xdr:row>
      <xdr:rowOff>57150</xdr:rowOff>
    </xdr:from>
    <xdr:to>
      <xdr:col>9</xdr:col>
      <xdr:colOff>19050</xdr:colOff>
      <xdr:row>4</xdr:row>
      <xdr:rowOff>133350</xdr:rowOff>
    </xdr:to>
    <xdr:pic>
      <xdr:nvPicPr>
        <xdr:cNvPr id="1026" name="Imagem 2">
          <a:extLst>
            <a:ext uri="{FF2B5EF4-FFF2-40B4-BE49-F238E27FC236}">
              <a16:creationId xmlns:a16="http://schemas.microsoft.com/office/drawing/2014/main" id="{3D3696E7-A0BC-74E9-54AC-CF5EEE06A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3430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647700</xdr:colOff>
      <xdr:row>8</xdr:row>
      <xdr:rowOff>174468</xdr:rowOff>
    </xdr:from>
    <xdr:to>
      <xdr:col>15</xdr:col>
      <xdr:colOff>496382</xdr:colOff>
      <xdr:row>16</xdr:row>
      <xdr:rowOff>162291</xdr:rowOff>
    </xdr:to>
    <xdr:pic>
      <xdr:nvPicPr>
        <xdr:cNvPr id="3" name="Imagem 2">
          <a:extLst>
            <a:ext uri="{FF2B5EF4-FFF2-40B4-BE49-F238E27FC236}">
              <a16:creationId xmlns:a16="http://schemas.microsoft.com/office/drawing/2014/main" id="{152FBF21-54D8-3171-223F-D03932AD0379}"/>
            </a:ext>
          </a:extLst>
        </xdr:cNvPr>
        <xdr:cNvPicPr>
          <a:picLocks noChangeAspect="1"/>
        </xdr:cNvPicPr>
      </xdr:nvPicPr>
      <xdr:blipFill>
        <a:blip xmlns:r="http://schemas.openxmlformats.org/officeDocument/2006/relationships" r:embed="rId1"/>
        <a:stretch>
          <a:fillRect/>
        </a:stretch>
      </xdr:blipFill>
      <xdr:spPr>
        <a:xfrm>
          <a:off x="5953125" y="1698468"/>
          <a:ext cx="4458782" cy="15118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ruan_dutra_cemig_com_br/Documents/Documentos/Regulamenta&#231;&#227;o%20Lei%2014300/Formulario/Proposta%20Desbloqueado/Formulario-MiniGD_rev_i%20DESBLOQ.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ário"/>
      <sheetName val="Seg Barragem"/>
      <sheetName val="Notas Explicativas"/>
      <sheetName val="Resp Seg Barragem"/>
      <sheetName val="G FC"/>
      <sheetName val="Apoio"/>
      <sheetName val="Dados"/>
      <sheetName val="Conferencia"/>
      <sheetName val="ControleREV"/>
    </sheetNames>
    <sheetDataSet>
      <sheetData sheetId="0" refreshError="1">
        <row r="16">
          <cell r="E16" t="str">
            <v>A</v>
          </cell>
        </row>
        <row r="33">
          <cell r="O33"/>
        </row>
        <row r="39">
          <cell r="T39"/>
        </row>
        <row r="50">
          <cell r="K50">
            <v>0</v>
          </cell>
        </row>
        <row r="57">
          <cell r="L57" t="str">
            <v>Solar</v>
          </cell>
          <cell r="AT57" t="str">
            <v/>
          </cell>
        </row>
      </sheetData>
      <sheetData sheetId="1" refreshError="1"/>
      <sheetData sheetId="2" refreshError="1"/>
      <sheetData sheetId="3" refreshError="1"/>
      <sheetData sheetId="4" refreshError="1"/>
      <sheetData sheetId="5" refreshError="1">
        <row r="12">
          <cell r="B12">
            <v>40</v>
          </cell>
        </row>
        <row r="13">
          <cell r="B13">
            <v>50</v>
          </cell>
        </row>
        <row r="14">
          <cell r="B14">
            <v>63</v>
          </cell>
        </row>
        <row r="15">
          <cell r="B15">
            <v>70</v>
          </cell>
        </row>
        <row r="16">
          <cell r="B16">
            <v>40</v>
          </cell>
        </row>
        <row r="17">
          <cell r="B17">
            <v>50</v>
          </cell>
        </row>
        <row r="18">
          <cell r="B18">
            <v>60</v>
          </cell>
        </row>
        <row r="19">
          <cell r="B19">
            <v>63</v>
          </cell>
        </row>
        <row r="20">
          <cell r="B20">
            <v>70</v>
          </cell>
        </row>
        <row r="21">
          <cell r="B21">
            <v>80</v>
          </cell>
        </row>
        <row r="22">
          <cell r="B22">
            <v>90</v>
          </cell>
        </row>
        <row r="23">
          <cell r="B23">
            <v>100</v>
          </cell>
        </row>
        <row r="24">
          <cell r="B24">
            <v>120</v>
          </cell>
        </row>
        <row r="25">
          <cell r="B25">
            <v>125</v>
          </cell>
        </row>
        <row r="26">
          <cell r="B26">
            <v>150</v>
          </cell>
        </row>
        <row r="27">
          <cell r="B27">
            <v>200</v>
          </cell>
        </row>
        <row r="28">
          <cell r="B28">
            <v>40</v>
          </cell>
        </row>
        <row r="29">
          <cell r="B29">
            <v>60</v>
          </cell>
        </row>
        <row r="30">
          <cell r="B30">
            <v>63</v>
          </cell>
        </row>
        <row r="31">
          <cell r="B31">
            <v>70</v>
          </cell>
        </row>
        <row r="32">
          <cell r="B32">
            <v>80</v>
          </cell>
        </row>
        <row r="33">
          <cell r="B33">
            <v>100</v>
          </cell>
        </row>
        <row r="34">
          <cell r="B34">
            <v>120</v>
          </cell>
        </row>
        <row r="35">
          <cell r="B35">
            <v>125</v>
          </cell>
        </row>
        <row r="36">
          <cell r="B36">
            <v>150</v>
          </cell>
        </row>
        <row r="37">
          <cell r="B37">
            <v>175</v>
          </cell>
        </row>
        <row r="38">
          <cell r="B38">
            <v>200</v>
          </cell>
        </row>
        <row r="39">
          <cell r="B39">
            <v>225</v>
          </cell>
        </row>
        <row r="40">
          <cell r="B40">
            <v>250</v>
          </cell>
        </row>
        <row r="41">
          <cell r="B41">
            <v>300</v>
          </cell>
        </row>
        <row r="42">
          <cell r="B42">
            <v>315</v>
          </cell>
        </row>
        <row r="43">
          <cell r="B43">
            <v>320</v>
          </cell>
        </row>
        <row r="44">
          <cell r="B44">
            <v>400</v>
          </cell>
        </row>
        <row r="45">
          <cell r="B45">
            <v>450</v>
          </cell>
        </row>
        <row r="46">
          <cell r="B46">
            <v>500</v>
          </cell>
        </row>
        <row r="47">
          <cell r="B47">
            <v>600</v>
          </cell>
        </row>
        <row r="48">
          <cell r="B48">
            <v>630</v>
          </cell>
        </row>
        <row r="49">
          <cell r="B49">
            <v>700</v>
          </cell>
        </row>
        <row r="50">
          <cell r="B50">
            <v>800</v>
          </cell>
        </row>
        <row r="59">
          <cell r="B59">
            <v>60</v>
          </cell>
        </row>
        <row r="60">
          <cell r="B60">
            <v>63</v>
          </cell>
        </row>
        <row r="61">
          <cell r="B61">
            <v>90</v>
          </cell>
        </row>
        <row r="62">
          <cell r="B62">
            <v>100</v>
          </cell>
        </row>
        <row r="63">
          <cell r="B63">
            <v>120</v>
          </cell>
        </row>
        <row r="64">
          <cell r="B64">
            <v>125</v>
          </cell>
        </row>
        <row r="65">
          <cell r="B65">
            <v>150</v>
          </cell>
        </row>
        <row r="66">
          <cell r="B66">
            <v>200</v>
          </cell>
        </row>
        <row r="67">
          <cell r="B67">
            <v>60</v>
          </cell>
        </row>
        <row r="68">
          <cell r="B68">
            <v>63</v>
          </cell>
        </row>
        <row r="69">
          <cell r="B69">
            <v>70</v>
          </cell>
        </row>
        <row r="70">
          <cell r="B70">
            <v>80</v>
          </cell>
        </row>
        <row r="71">
          <cell r="B71">
            <v>100</v>
          </cell>
        </row>
        <row r="72">
          <cell r="B72">
            <v>120</v>
          </cell>
        </row>
        <row r="73">
          <cell r="B73">
            <v>125</v>
          </cell>
        </row>
        <row r="74">
          <cell r="B74">
            <v>150</v>
          </cell>
        </row>
        <row r="75">
          <cell r="B75">
            <v>175</v>
          </cell>
        </row>
        <row r="76">
          <cell r="B76">
            <v>200</v>
          </cell>
        </row>
        <row r="77">
          <cell r="B77">
            <v>225</v>
          </cell>
        </row>
        <row r="78">
          <cell r="B78">
            <v>250</v>
          </cell>
        </row>
        <row r="79">
          <cell r="B79">
            <v>300</v>
          </cell>
        </row>
        <row r="80">
          <cell r="B80">
            <v>315</v>
          </cell>
        </row>
        <row r="81">
          <cell r="B81">
            <v>320</v>
          </cell>
        </row>
        <row r="82">
          <cell r="B82">
            <v>400</v>
          </cell>
        </row>
        <row r="83">
          <cell r="B83">
            <v>450</v>
          </cell>
        </row>
        <row r="84">
          <cell r="B84">
            <v>500</v>
          </cell>
        </row>
        <row r="85">
          <cell r="B85">
            <v>600</v>
          </cell>
        </row>
        <row r="86">
          <cell r="B86">
            <v>630</v>
          </cell>
        </row>
        <row r="87">
          <cell r="B87">
            <v>700</v>
          </cell>
        </row>
        <row r="88">
          <cell r="B88">
            <v>800</v>
          </cell>
        </row>
        <row r="89">
          <cell r="B89">
            <v>1000</v>
          </cell>
        </row>
        <row r="90">
          <cell r="B90">
            <v>1200</v>
          </cell>
        </row>
        <row r="91">
          <cell r="B91">
            <v>1500</v>
          </cell>
        </row>
        <row r="92">
          <cell r="B92">
            <v>1800</v>
          </cell>
        </row>
        <row r="93">
          <cell r="B93">
            <v>2100</v>
          </cell>
        </row>
      </sheetData>
      <sheetData sheetId="6" refreshError="1">
        <row r="3">
          <cell r="V3">
            <v>0</v>
          </cell>
        </row>
        <row r="4">
          <cell r="B4" t="str">
            <v>Conexão de GD em Unidade Consumidora Existente COM Alteração de Demanda Contratada</v>
          </cell>
          <cell r="R4">
            <v>1</v>
          </cell>
        </row>
        <row r="5">
          <cell r="B5" t="str">
            <v>Conexão de GD em Unidade Consumidora Existente SEM Alteração de Demanda Contratada</v>
          </cell>
          <cell r="P5">
            <v>112.5</v>
          </cell>
          <cell r="R5">
            <v>2</v>
          </cell>
          <cell r="V5" t="str">
            <v>Sim</v>
          </cell>
        </row>
        <row r="6">
          <cell r="B6" t="str">
            <v>GD Existente COM Alteração de Potência Ativa Instalada Total de Geração</v>
          </cell>
          <cell r="P6">
            <v>150</v>
          </cell>
          <cell r="R6">
            <v>3</v>
          </cell>
          <cell r="V6" t="str">
            <v>Não</v>
          </cell>
        </row>
        <row r="7">
          <cell r="B7" t="str">
            <v>Ligação de Nova Unidade Consumidora COM Geração Distribuída</v>
          </cell>
          <cell r="P7">
            <v>225</v>
          </cell>
          <cell r="R7">
            <v>4</v>
          </cell>
        </row>
        <row r="8">
          <cell r="P8">
            <v>300</v>
          </cell>
        </row>
        <row r="10">
          <cell r="I10" t="e">
            <v>#N/A</v>
          </cell>
          <cell r="J10" t="e">
            <v>#N/A</v>
          </cell>
          <cell r="K10" t="e">
            <v>#N/A</v>
          </cell>
          <cell r="L10" t="e">
            <v>#N/A</v>
          </cell>
        </row>
        <row r="20">
          <cell r="C20">
            <v>13800</v>
          </cell>
        </row>
        <row r="21">
          <cell r="C21">
            <v>22000</v>
          </cell>
        </row>
        <row r="22">
          <cell r="C22">
            <v>34500</v>
          </cell>
        </row>
        <row r="30">
          <cell r="B30" t="str">
            <v>Aéreo</v>
          </cell>
        </row>
        <row r="31">
          <cell r="B31" t="str">
            <v>Subterrâneo</v>
          </cell>
        </row>
        <row r="34">
          <cell r="B34" t="str">
            <v>∆-Y</v>
          </cell>
        </row>
        <row r="35">
          <cell r="B35" t="str">
            <v>∆-∆</v>
          </cell>
        </row>
        <row r="36">
          <cell r="B36" t="str">
            <v>Y-∆</v>
          </cell>
        </row>
        <row r="37">
          <cell r="B37" t="str">
            <v>Y-Y</v>
          </cell>
        </row>
      </sheetData>
      <sheetData sheetId="7" refreshError="1">
        <row r="2">
          <cell r="D2" t="str">
            <v>O campo "Número do Cliente" deve ser preenchido.</v>
          </cell>
        </row>
      </sheetData>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mig.com.br/atendimento/ligacao-nova-e-aumento-de-carg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tabColor rgb="FF00B050"/>
    <pageSetUpPr fitToPage="1"/>
  </sheetPr>
  <dimension ref="A2:AX376"/>
  <sheetViews>
    <sheetView showGridLines="0" showRowColHeaders="0" tabSelected="1" zoomScaleNormal="100" workbookViewId="0">
      <pane ySplit="9" topLeftCell="A10" activePane="bottomLeft" state="frozen"/>
      <selection pane="bottomLeft" activeCell="J12" sqref="J12:O12"/>
    </sheetView>
  </sheetViews>
  <sheetFormatPr defaultColWidth="0" defaultRowHeight="15" x14ac:dyDescent="0.25"/>
  <cols>
    <col min="1" max="24" width="2.7109375" customWidth="1"/>
    <col min="25" max="25" width="3.7109375" customWidth="1"/>
    <col min="26" max="26" width="2.7109375" customWidth="1"/>
    <col min="27" max="27" width="4" customWidth="1"/>
    <col min="28" max="30" width="2.7109375" customWidth="1"/>
    <col min="31" max="31" width="3.85546875" customWidth="1"/>
    <col min="32" max="32" width="1.5703125" customWidth="1"/>
    <col min="33" max="40" width="2.7109375" customWidth="1"/>
    <col min="41" max="41" width="3.5703125" customWidth="1"/>
    <col min="42" max="43" width="2.7109375" customWidth="1"/>
    <col min="44" max="44" width="3.42578125" customWidth="1"/>
    <col min="45" max="45" width="3.140625" customWidth="1"/>
    <col min="46" max="48" width="2.7109375" customWidth="1"/>
    <col min="49" max="49" width="0.7109375" customWidth="1"/>
    <col min="50" max="50" width="2.7109375" customWidth="1"/>
    <col min="51" max="16384" width="2.7109375" hidden="1"/>
  </cols>
  <sheetData>
    <row r="2" spans="2:49" ht="15" customHeight="1" x14ac:dyDescent="0.25">
      <c r="B2" s="12"/>
      <c r="C2" s="13"/>
      <c r="D2" s="13"/>
      <c r="E2" s="13"/>
      <c r="F2" s="13"/>
      <c r="G2" s="13"/>
      <c r="H2" s="13"/>
      <c r="I2" s="13"/>
      <c r="J2" s="13"/>
      <c r="K2" s="13"/>
      <c r="L2" s="162" t="s">
        <v>211</v>
      </c>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39"/>
      <c r="AU2" s="39"/>
      <c r="AV2" s="39"/>
      <c r="AW2" s="14"/>
    </row>
    <row r="3" spans="2:49" ht="15" customHeight="1" x14ac:dyDescent="0.25">
      <c r="B3" s="9"/>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40"/>
      <c r="AU3" s="40"/>
      <c r="AV3" s="40"/>
      <c r="AW3" s="7"/>
    </row>
    <row r="4" spans="2:49" ht="15" customHeight="1" x14ac:dyDescent="0.25">
      <c r="B4" s="9"/>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40"/>
      <c r="AU4" s="40"/>
      <c r="AV4" s="40"/>
      <c r="AW4" s="7"/>
    </row>
    <row r="5" spans="2:49" x14ac:dyDescent="0.25">
      <c r="B5" s="10"/>
      <c r="C5" s="1"/>
      <c r="D5" s="1"/>
      <c r="E5" s="1"/>
      <c r="F5" s="1"/>
      <c r="G5" s="1"/>
      <c r="H5" s="1"/>
      <c r="I5" s="1"/>
      <c r="J5" s="1"/>
      <c r="K5" s="1"/>
      <c r="L5" s="165" t="s">
        <v>544</v>
      </c>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1"/>
    </row>
    <row r="6" spans="2:49" ht="3" customHeight="1" x14ac:dyDescent="0.25"/>
    <row r="7" spans="2:49" s="55" customFormat="1" ht="9" customHeight="1" x14ac:dyDescent="0.25">
      <c r="B7" s="174" t="str">
        <f>Mensagem_Erro</f>
        <v>O campo "Número da Instalação" deve ser preenchido.</v>
      </c>
      <c r="C7" s="174"/>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row>
    <row r="8" spans="2:49" s="55" customFormat="1" ht="9" customHeight="1" x14ac:dyDescent="0.25">
      <c r="B8" s="174"/>
      <c r="C8" s="174"/>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row>
    <row r="9" spans="2:49" ht="3" customHeight="1" x14ac:dyDescent="0.25"/>
    <row r="10" spans="2:49" x14ac:dyDescent="0.25">
      <c r="B10" s="130" t="s">
        <v>0</v>
      </c>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20"/>
    </row>
    <row r="11" spans="2:49" ht="3" customHeight="1" thickBot="1" x14ac:dyDescent="0.3">
      <c r="B11" s="37"/>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14"/>
    </row>
    <row r="12" spans="2:49" x14ac:dyDescent="0.25">
      <c r="B12" s="9" t="s">
        <v>6</v>
      </c>
      <c r="J12" s="136"/>
      <c r="K12" s="137"/>
      <c r="L12" s="137"/>
      <c r="M12" s="137"/>
      <c r="N12" s="137"/>
      <c r="O12" s="138"/>
      <c r="AW12" s="7"/>
    </row>
    <row r="13" spans="2:49" ht="3" customHeight="1" thickBot="1" x14ac:dyDescent="0.3">
      <c r="B13" s="8"/>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7"/>
    </row>
    <row r="14" spans="2:49" x14ac:dyDescent="0.25">
      <c r="B14" s="9" t="s">
        <v>47</v>
      </c>
      <c r="M14" s="18"/>
      <c r="N14" s="124"/>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25"/>
      <c r="AW14" s="7"/>
    </row>
    <row r="15" spans="2:49" ht="3" customHeight="1" thickBot="1" x14ac:dyDescent="0.3">
      <c r="B15" s="8"/>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7"/>
    </row>
    <row r="16" spans="2:49" x14ac:dyDescent="0.25">
      <c r="B16" s="9" t="s">
        <v>13</v>
      </c>
      <c r="E16" s="209" t="s">
        <v>22</v>
      </c>
      <c r="F16" s="210"/>
      <c r="H16" t="s">
        <v>15</v>
      </c>
      <c r="K16" s="211"/>
      <c r="L16" s="212"/>
      <c r="M16" s="212"/>
      <c r="N16" s="212"/>
      <c r="O16" s="212"/>
      <c r="P16" s="212"/>
      <c r="Q16" s="213"/>
      <c r="Y16" t="s">
        <v>12</v>
      </c>
      <c r="AC16" s="221"/>
      <c r="AD16" s="222"/>
      <c r="AE16" s="222"/>
      <c r="AF16" s="222"/>
      <c r="AG16" s="222"/>
      <c r="AH16" s="222"/>
      <c r="AI16" s="223"/>
      <c r="AJ16" s="3"/>
      <c r="AK16" s="3"/>
      <c r="AL16" s="3"/>
      <c r="AW16" s="7"/>
    </row>
    <row r="17" spans="2:49" ht="3" customHeight="1" thickBot="1" x14ac:dyDescent="0.3">
      <c r="B17" s="9"/>
      <c r="E17" s="2"/>
      <c r="AC17" s="4"/>
      <c r="AD17" s="4"/>
      <c r="AE17" s="4"/>
      <c r="AF17" s="4"/>
      <c r="AG17" s="4"/>
      <c r="AH17" s="4"/>
      <c r="AI17" s="4"/>
      <c r="AJ17" s="3"/>
      <c r="AK17" s="3"/>
      <c r="AL17" s="3"/>
      <c r="AW17" s="7"/>
    </row>
    <row r="18" spans="2:49" x14ac:dyDescent="0.25">
      <c r="B18" s="9" t="s">
        <v>14</v>
      </c>
      <c r="G18" s="124"/>
      <c r="H18" s="141"/>
      <c r="I18" s="141"/>
      <c r="J18" s="141"/>
      <c r="K18" s="141"/>
      <c r="L18" s="141"/>
      <c r="M18" s="141"/>
      <c r="N18" s="141"/>
      <c r="O18" s="141"/>
      <c r="P18" s="141"/>
      <c r="Q18" s="141"/>
      <c r="R18" s="141"/>
      <c r="S18" s="141"/>
      <c r="T18" s="141"/>
      <c r="U18" s="141"/>
      <c r="V18" s="141"/>
      <c r="W18" s="141"/>
      <c r="X18" s="141"/>
      <c r="Y18" s="141"/>
      <c r="Z18" s="141"/>
      <c r="AA18" s="141"/>
      <c r="AB18" s="141"/>
      <c r="AC18" s="141"/>
      <c r="AD18" s="125"/>
      <c r="AE18" s="150" t="s">
        <v>16</v>
      </c>
      <c r="AF18" s="150"/>
      <c r="AG18" s="150"/>
      <c r="AH18" s="151"/>
      <c r="AI18" s="136"/>
      <c r="AJ18" s="137"/>
      <c r="AK18" s="138"/>
      <c r="AL18" s="150" t="s">
        <v>40</v>
      </c>
      <c r="AM18" s="150"/>
      <c r="AN18" s="150"/>
      <c r="AO18" s="150"/>
      <c r="AP18" s="150"/>
      <c r="AQ18" s="150"/>
      <c r="AR18" s="136"/>
      <c r="AS18" s="137"/>
      <c r="AT18" s="137"/>
      <c r="AU18" s="137"/>
      <c r="AV18" s="138"/>
      <c r="AW18" s="7"/>
    </row>
    <row r="19" spans="2:49" ht="3" customHeight="1" thickBot="1" x14ac:dyDescent="0.3">
      <c r="B19" s="9"/>
      <c r="AW19" s="7"/>
    </row>
    <row r="20" spans="2:49" x14ac:dyDescent="0.25">
      <c r="B20" s="9" t="s">
        <v>20</v>
      </c>
      <c r="E20" s="124"/>
      <c r="F20" s="141"/>
      <c r="G20" s="141"/>
      <c r="H20" s="141"/>
      <c r="I20" s="141"/>
      <c r="J20" s="141"/>
      <c r="K20" s="141"/>
      <c r="L20" s="141"/>
      <c r="M20" s="141"/>
      <c r="N20" s="125"/>
      <c r="P20" s="150" t="s">
        <v>19</v>
      </c>
      <c r="Q20" s="150"/>
      <c r="R20" s="150"/>
      <c r="S20" s="150"/>
      <c r="T20" s="124"/>
      <c r="U20" s="141"/>
      <c r="V20" s="141"/>
      <c r="W20" s="141"/>
      <c r="X20" s="141"/>
      <c r="Y20" s="141"/>
      <c r="Z20" s="141"/>
      <c r="AA20" s="141"/>
      <c r="AB20" s="141"/>
      <c r="AC20" s="141"/>
      <c r="AD20" s="141"/>
      <c r="AE20" s="141"/>
      <c r="AF20" s="141"/>
      <c r="AG20" s="141"/>
      <c r="AH20" s="141"/>
      <c r="AI20" s="125"/>
      <c r="AK20" s="150" t="s">
        <v>17</v>
      </c>
      <c r="AL20" s="150"/>
      <c r="AM20" s="151"/>
      <c r="AN20" s="136" t="s">
        <v>255</v>
      </c>
      <c r="AO20" s="138"/>
      <c r="AQ20" s="150" t="s">
        <v>18</v>
      </c>
      <c r="AR20" s="151"/>
      <c r="AS20" s="224"/>
      <c r="AT20" s="225"/>
      <c r="AU20" s="225"/>
      <c r="AV20" s="226"/>
      <c r="AW20" s="7"/>
    </row>
    <row r="21" spans="2:49" ht="3" customHeight="1" thickBot="1" x14ac:dyDescent="0.3">
      <c r="B21" s="9"/>
      <c r="AW21" s="7"/>
    </row>
    <row r="22" spans="2:49" x14ac:dyDescent="0.25">
      <c r="B22" s="9" t="s">
        <v>1</v>
      </c>
      <c r="F22" s="206"/>
      <c r="G22" s="207"/>
      <c r="H22" s="207"/>
      <c r="I22" s="207"/>
      <c r="J22" s="208"/>
      <c r="L22" t="s">
        <v>241</v>
      </c>
      <c r="O22" s="214"/>
      <c r="P22" s="215"/>
      <c r="Q22" s="215"/>
      <c r="R22" s="215"/>
      <c r="S22" s="215"/>
      <c r="T22" s="216"/>
      <c r="V22" s="150" t="s">
        <v>64</v>
      </c>
      <c r="W22" s="150"/>
      <c r="X22" s="150"/>
      <c r="Y22" s="217"/>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9"/>
      <c r="AW22" s="7"/>
    </row>
    <row r="23" spans="2:49" ht="3" customHeight="1" x14ac:dyDescent="0.25">
      <c r="B23" s="10"/>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1"/>
    </row>
    <row r="24" spans="2:49" ht="3" customHeight="1" x14ac:dyDescent="0.25">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row>
    <row r="25" spans="2:49" x14ac:dyDescent="0.25">
      <c r="B25" s="130" t="s">
        <v>2</v>
      </c>
      <c r="C25" s="13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20"/>
    </row>
    <row r="26" spans="2:49" ht="3" customHeight="1" thickBot="1" x14ac:dyDescent="0.3">
      <c r="B26" s="12"/>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4"/>
    </row>
    <row r="27" spans="2:49" x14ac:dyDescent="0.25">
      <c r="B27" s="9" t="s">
        <v>408</v>
      </c>
      <c r="T27" s="150" t="s">
        <v>3</v>
      </c>
      <c r="U27" s="150"/>
      <c r="V27" s="136"/>
      <c r="W27" s="138"/>
      <c r="X27" s="150" t="s">
        <v>4</v>
      </c>
      <c r="Y27" s="150"/>
      <c r="Z27" s="150"/>
      <c r="AA27" s="150"/>
      <c r="AB27" s="150"/>
      <c r="AC27" s="136"/>
      <c r="AD27" s="137"/>
      <c r="AE27" s="138"/>
      <c r="AG27" s="150" t="s">
        <v>5</v>
      </c>
      <c r="AH27" s="150"/>
      <c r="AI27" s="150"/>
      <c r="AJ27" s="150"/>
      <c r="AK27" s="150"/>
      <c r="AL27" s="136"/>
      <c r="AM27" s="137"/>
      <c r="AN27" s="138"/>
      <c r="AW27" s="7"/>
    </row>
    <row r="28" spans="2:49" ht="3" customHeight="1" x14ac:dyDescent="0.25">
      <c r="B28" s="9"/>
      <c r="AF28" s="61"/>
      <c r="AG28" s="61"/>
      <c r="AH28" s="15"/>
      <c r="AI28" s="15"/>
      <c r="AO28" s="61"/>
      <c r="AW28" s="7"/>
    </row>
    <row r="29" spans="2:49" ht="9.75" customHeight="1" x14ac:dyDescent="0.25">
      <c r="B29" s="9"/>
      <c r="Y29" s="203" t="str">
        <f>IF(V27="","Indique o fuso",IF(AND(Apoio!I4="Ok",OR(V27="",Conferencia!B15=1)),"",IF(AND(AC27&lt;&gt;"",V27&lt;&gt;"",Apoio!I4&lt;&gt;"Ok"),"Verifique a Abscissa","De "&amp;VLOOKUP(V27,Apoio!B1:F4,2,FALSE)&amp;" a "&amp;VLOOKUP(V27,Apoio!B1:F4,3,FALSE))))</f>
        <v>Indique o fuso</v>
      </c>
      <c r="Z29" s="203"/>
      <c r="AA29" s="203"/>
      <c r="AB29" s="203"/>
      <c r="AC29" s="203"/>
      <c r="AD29" s="203"/>
      <c r="AE29" s="203"/>
      <c r="AG29" s="203" t="str">
        <f>IF(V27="","Indique o fuso",IF(AND(Apoio!K4="Ok",OR(V27="",Conferencia!B16=1)),"",IF(AND(AL27&lt;&gt;"",V27&lt;&gt;"",Apoio!K4&lt;&gt;"Ok"),"Verifique a Ordenada","De "&amp;VLOOKUP($V$27,Apoio!B1:F4,4,FALSE)&amp;" a "&amp;VLOOKUP($V$27,Apoio!B1:F4,5,FALSE))))</f>
        <v>Indique o fuso</v>
      </c>
      <c r="AH29" s="203"/>
      <c r="AI29" s="203"/>
      <c r="AJ29" s="203"/>
      <c r="AK29" s="203"/>
      <c r="AL29" s="203"/>
      <c r="AM29" s="203"/>
      <c r="AN29" s="203"/>
      <c r="AO29" s="61"/>
      <c r="AW29" s="7"/>
    </row>
    <row r="30" spans="2:49" ht="3" customHeight="1" x14ac:dyDescent="0.25">
      <c r="B30" s="9"/>
      <c r="AF30" s="61"/>
      <c r="AG30" s="61"/>
      <c r="AH30" s="15"/>
      <c r="AI30" s="15"/>
      <c r="AO30" s="61"/>
      <c r="AW30" s="7"/>
    </row>
    <row r="31" spans="2:49" ht="3" customHeight="1" x14ac:dyDescent="0.25">
      <c r="B31" s="12"/>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4"/>
    </row>
    <row r="32" spans="2:49" ht="3" customHeight="1" thickBot="1" x14ac:dyDescent="0.3">
      <c r="B32" s="9"/>
      <c r="AW32" s="7"/>
    </row>
    <row r="33" spans="2:49" ht="15" customHeight="1" x14ac:dyDescent="0.25">
      <c r="B33" s="9" t="s">
        <v>21</v>
      </c>
      <c r="D33" s="62"/>
      <c r="E33" s="62"/>
      <c r="F33" s="63"/>
      <c r="O33" s="198"/>
      <c r="P33" s="199"/>
      <c r="T33" s="232" t="s">
        <v>141</v>
      </c>
      <c r="U33" s="233"/>
      <c r="V33" s="136"/>
      <c r="W33" s="138"/>
      <c r="X33" s="64" t="s">
        <v>143</v>
      </c>
      <c r="Y33" s="232" t="s">
        <v>142</v>
      </c>
      <c r="Z33" s="232"/>
      <c r="AA33" s="232"/>
      <c r="AB33" s="136"/>
      <c r="AC33" s="137"/>
      <c r="AD33" s="138"/>
      <c r="AE33" t="s">
        <v>221</v>
      </c>
      <c r="AH33" s="232" t="s">
        <v>141</v>
      </c>
      <c r="AI33" s="233"/>
      <c r="AJ33" s="136"/>
      <c r="AK33" s="138"/>
      <c r="AL33" s="64" t="s">
        <v>143</v>
      </c>
      <c r="AM33" s="232" t="s">
        <v>142</v>
      </c>
      <c r="AN33" s="232"/>
      <c r="AO33" s="232"/>
      <c r="AP33" s="136"/>
      <c r="AQ33" s="137"/>
      <c r="AR33" s="138"/>
      <c r="AS33" t="s">
        <v>221</v>
      </c>
      <c r="AW33" s="7"/>
    </row>
    <row r="34" spans="2:49" ht="3.95" customHeight="1" thickBot="1" x14ac:dyDescent="0.3">
      <c r="B34" s="9"/>
      <c r="D34" s="62"/>
      <c r="E34" s="62"/>
      <c r="F34" s="62"/>
      <c r="AW34" s="7"/>
    </row>
    <row r="35" spans="2:49" x14ac:dyDescent="0.25">
      <c r="B35" s="9" t="str">
        <f>IF(OR(TipoSE="Nº 1",TipoSE="Nº 5",TipoSE="Nº 8"),"Transformador particular (kVA):","Qte de potência distinta dos trafos:")</f>
        <v>Qte de potência distinta dos trafos:</v>
      </c>
      <c r="D35" s="62"/>
      <c r="E35" s="62"/>
      <c r="F35" s="63"/>
      <c r="N35" s="195"/>
      <c r="O35" s="196"/>
      <c r="P35" s="197"/>
      <c r="T35" s="232" t="s">
        <v>141</v>
      </c>
      <c r="U35" s="233"/>
      <c r="V35" s="136"/>
      <c r="W35" s="138"/>
      <c r="X35" s="64" t="s">
        <v>143</v>
      </c>
      <c r="Y35" s="232" t="s">
        <v>142</v>
      </c>
      <c r="Z35" s="232"/>
      <c r="AA35" s="232"/>
      <c r="AB35" s="136"/>
      <c r="AC35" s="137"/>
      <c r="AD35" s="138"/>
      <c r="AE35" t="s">
        <v>221</v>
      </c>
      <c r="AH35" s="232" t="s">
        <v>141</v>
      </c>
      <c r="AI35" s="233"/>
      <c r="AJ35" s="136"/>
      <c r="AK35" s="138"/>
      <c r="AL35" s="64" t="s">
        <v>143</v>
      </c>
      <c r="AM35" s="232" t="s">
        <v>142</v>
      </c>
      <c r="AN35" s="232"/>
      <c r="AO35" s="232"/>
      <c r="AP35" s="136"/>
      <c r="AQ35" s="137"/>
      <c r="AR35" s="138"/>
      <c r="AS35" t="s">
        <v>221</v>
      </c>
      <c r="AW35" s="7"/>
    </row>
    <row r="36" spans="2:49" ht="3.95" customHeight="1" thickBot="1" x14ac:dyDescent="0.3">
      <c r="B36" s="9"/>
      <c r="AW36" s="7"/>
    </row>
    <row r="37" spans="2:49" ht="15" customHeight="1" x14ac:dyDescent="0.25">
      <c r="B37" s="9" t="s">
        <v>235</v>
      </c>
      <c r="N37" s="200"/>
      <c r="O37" s="201"/>
      <c r="P37" s="201"/>
      <c r="Q37" s="202"/>
      <c r="V37" t="s">
        <v>548</v>
      </c>
      <c r="AF37" s="61"/>
      <c r="AG37" s="61"/>
      <c r="AH37" s="15"/>
      <c r="AI37" s="15"/>
      <c r="AJ37" s="229"/>
      <c r="AK37" s="230"/>
      <c r="AL37" s="230"/>
      <c r="AM37" s="231"/>
      <c r="AO37" s="61"/>
      <c r="AW37" s="7"/>
    </row>
    <row r="38" spans="2:49" ht="3.95" customHeight="1" thickBot="1" x14ac:dyDescent="0.3">
      <c r="B38" s="9"/>
      <c r="AF38" s="61"/>
      <c r="AG38" s="61"/>
      <c r="AH38" s="15"/>
      <c r="AI38" s="15"/>
      <c r="AO38" s="61"/>
      <c r="AW38" s="7"/>
    </row>
    <row r="39" spans="2:49" x14ac:dyDescent="0.25">
      <c r="B39" s="9" t="s">
        <v>8</v>
      </c>
      <c r="AH39" s="136"/>
      <c r="AI39" s="137"/>
      <c r="AJ39" s="138"/>
      <c r="AW39" s="7"/>
    </row>
    <row r="40" spans="2:49" ht="3.95" customHeight="1" thickBot="1" x14ac:dyDescent="0.3">
      <c r="B40" s="9"/>
      <c r="AW40" s="7"/>
    </row>
    <row r="41" spans="2:49" x14ac:dyDescent="0.25">
      <c r="B41" s="9" t="s">
        <v>9</v>
      </c>
      <c r="L41" s="139"/>
      <c r="M41" s="227"/>
      <c r="N41" s="227"/>
      <c r="O41" s="228"/>
      <c r="AE41" s="65"/>
      <c r="AF41" s="65"/>
      <c r="AG41" s="65"/>
      <c r="AH41" s="65"/>
      <c r="AI41" s="65"/>
      <c r="AJ41" s="65"/>
      <c r="AK41" s="65"/>
      <c r="AL41" s="65"/>
      <c r="AM41" s="65"/>
      <c r="AN41" s="65"/>
      <c r="AO41" s="65"/>
      <c r="AP41" s="65"/>
      <c r="AQ41" s="65"/>
      <c r="AR41" s="65"/>
      <c r="AS41" s="65"/>
      <c r="AT41" s="65"/>
      <c r="AW41" s="7"/>
    </row>
    <row r="42" spans="2:49" ht="3.95" customHeight="1" thickBot="1" x14ac:dyDescent="0.3">
      <c r="B42" s="9"/>
      <c r="X42" s="15"/>
      <c r="Y42" s="15"/>
      <c r="Z42" s="15"/>
      <c r="AA42" s="15"/>
      <c r="AB42" s="15"/>
      <c r="AW42" s="7"/>
    </row>
    <row r="43" spans="2:49" x14ac:dyDescent="0.25">
      <c r="B43" s="9" t="s">
        <v>214</v>
      </c>
      <c r="I43" s="192"/>
      <c r="J43" s="193"/>
      <c r="K43" s="193"/>
      <c r="L43" s="193"/>
      <c r="M43" s="193"/>
      <c r="N43" s="193"/>
      <c r="O43" s="193"/>
      <c r="P43" s="193"/>
      <c r="Q43" s="193"/>
      <c r="R43" s="193"/>
      <c r="S43" s="250"/>
      <c r="T43" s="2"/>
      <c r="U43" s="251" t="str">
        <f>IF(Dados!D14=1,"Quantidade de Cubículos:","")</f>
        <v/>
      </c>
      <c r="V43" s="251"/>
      <c r="W43" s="251"/>
      <c r="X43" s="251"/>
      <c r="Y43" s="251"/>
      <c r="Z43" s="251"/>
      <c r="AA43" s="251"/>
      <c r="AB43" s="251"/>
      <c r="AC43" s="252"/>
      <c r="AD43" s="139"/>
      <c r="AE43" s="140"/>
      <c r="AF43" s="2"/>
      <c r="AG43" s="2"/>
      <c r="AH43" s="102"/>
      <c r="AI43" s="102" t="str">
        <f>IF(AND(TipoSE="Nº 2",L41=13800,I43=Dados!Y5,I46=Dados!B7),"Configuração não aplicavél conforme item 4.8.1.1 ND 5.3","")</f>
        <v/>
      </c>
      <c r="AJ43" s="2"/>
      <c r="AK43" s="2"/>
      <c r="AW43" s="7"/>
    </row>
    <row r="44" spans="2:49" ht="6" customHeight="1" x14ac:dyDescent="0.25">
      <c r="B44" s="10"/>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1"/>
    </row>
    <row r="45" spans="2:49" ht="6" customHeight="1" thickBot="1" x14ac:dyDescent="0.3">
      <c r="B45" s="12"/>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4"/>
    </row>
    <row r="46" spans="2:49" x14ac:dyDescent="0.25">
      <c r="B46" s="9" t="s">
        <v>52</v>
      </c>
      <c r="I46" s="192"/>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193"/>
      <c r="AM46" s="193"/>
      <c r="AN46" s="194"/>
      <c r="AS46" s="237" t="s">
        <v>503</v>
      </c>
      <c r="AT46" s="238"/>
      <c r="AU46" s="238"/>
      <c r="AV46" s="239"/>
      <c r="AW46" s="7"/>
    </row>
    <row r="47" spans="2:49" ht="3.95" customHeight="1" thickBot="1" x14ac:dyDescent="0.3">
      <c r="B47" s="9"/>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61"/>
      <c r="AP47" s="61"/>
      <c r="AQ47" s="61"/>
      <c r="AR47" s="61"/>
      <c r="AS47" s="240"/>
      <c r="AT47" s="236"/>
      <c r="AU47" s="236"/>
      <c r="AV47" s="241"/>
      <c r="AW47" s="7"/>
    </row>
    <row r="48" spans="2:49" x14ac:dyDescent="0.25">
      <c r="B48" s="9" t="str">
        <f>IF(I46&lt;&gt;Dados!B5,"Demanda a ser contratada de geração:","Demanda contratada de geração:")</f>
        <v>Demanda a ser contratada de geração:</v>
      </c>
      <c r="P48" s="256"/>
      <c r="Q48" s="257"/>
      <c r="R48" s="257"/>
      <c r="S48" s="258"/>
      <c r="U48" t="s">
        <v>399</v>
      </c>
      <c r="AC48" t="str">
        <f>IF(I46="GD Existente COM Alteração de Potência Ativa Instalada Total de Geração","Potência atual de Geração (kW):","")</f>
        <v/>
      </c>
      <c r="AN48" s="253"/>
      <c r="AO48" s="254"/>
      <c r="AP48" s="254"/>
      <c r="AQ48" s="255"/>
      <c r="AS48" s="240"/>
      <c r="AT48" s="236"/>
      <c r="AU48" s="236"/>
      <c r="AV48" s="241"/>
      <c r="AW48" s="7"/>
    </row>
    <row r="49" spans="2:49" ht="3" customHeight="1" thickBot="1" x14ac:dyDescent="0.3">
      <c r="B49" s="9"/>
      <c r="AS49" s="240"/>
      <c r="AT49" s="236"/>
      <c r="AU49" s="236"/>
      <c r="AV49" s="241"/>
      <c r="AW49" s="7"/>
    </row>
    <row r="50" spans="2:49" ht="15" customHeight="1" x14ac:dyDescent="0.25">
      <c r="B50" s="9" t="str">
        <f>IF(I46&lt;&gt;Dados!B5,"Demanda a ser contratada de consumo*:","Demanda contratada de consumo*:")</f>
        <v>Demanda a ser contratada de consumo*:</v>
      </c>
      <c r="P50" s="256"/>
      <c r="Q50" s="257"/>
      <c r="R50" s="257"/>
      <c r="S50" s="258"/>
      <c r="U50" t="s">
        <v>399</v>
      </c>
      <c r="X50" s="105"/>
      <c r="Y50" s="105"/>
      <c r="Z50" s="105"/>
      <c r="AA50" s="105"/>
      <c r="AB50" s="102"/>
      <c r="AC50" t="str">
        <f>IF(I46="GD Existente COM Alteração de Potência Ativa Instalada Total de Geração","Demanda atual de consumo (kW):",IF(I46="Conexão de GD em Unidade Consumidora Existente COM Alteração de Demanda Contratada","Demanda atual de consumo (kW):",""))</f>
        <v/>
      </c>
      <c r="AD50" s="102"/>
      <c r="AE50" s="102"/>
      <c r="AF50" s="102"/>
      <c r="AG50" s="102"/>
      <c r="AH50" s="102"/>
      <c r="AI50" s="102"/>
      <c r="AJ50" s="102"/>
      <c r="AK50" s="102"/>
      <c r="AL50" s="102"/>
      <c r="AM50" s="102"/>
      <c r="AN50" s="102"/>
      <c r="AO50" s="253"/>
      <c r="AP50" s="254"/>
      <c r="AQ50" s="254"/>
      <c r="AR50" s="254"/>
      <c r="AS50" s="240"/>
      <c r="AT50" s="236"/>
      <c r="AU50" s="236"/>
      <c r="AV50" s="241"/>
      <c r="AW50" s="7"/>
    </row>
    <row r="51" spans="2:49" ht="15" customHeight="1" x14ac:dyDescent="0.25">
      <c r="B51" s="106" t="s">
        <v>410</v>
      </c>
      <c r="P51" s="103"/>
      <c r="Q51" s="103"/>
      <c r="R51" s="103"/>
      <c r="S51" s="103"/>
      <c r="X51" s="104"/>
      <c r="Y51" s="104"/>
      <c r="Z51" s="104"/>
      <c r="AA51" s="104"/>
      <c r="AB51" s="102"/>
      <c r="AC51" s="102"/>
      <c r="AD51" s="102"/>
      <c r="AE51" s="102"/>
      <c r="AF51" s="102"/>
      <c r="AG51" s="102"/>
      <c r="AH51" s="102"/>
      <c r="AI51" s="102"/>
      <c r="AJ51" s="102"/>
      <c r="AK51" s="102"/>
      <c r="AL51" s="102"/>
      <c r="AM51" s="102"/>
      <c r="AN51" s="102"/>
      <c r="AO51" s="102"/>
      <c r="AP51" s="102"/>
      <c r="AQ51" s="102"/>
      <c r="AR51" s="102"/>
      <c r="AS51" s="240"/>
      <c r="AT51" s="236"/>
      <c r="AU51" s="236"/>
      <c r="AV51" s="241"/>
      <c r="AW51" s="7"/>
    </row>
    <row r="52" spans="2:49" ht="3" customHeight="1" thickBot="1" x14ac:dyDescent="0.3">
      <c r="B52" s="9"/>
      <c r="AS52" s="117"/>
      <c r="AT52" s="117"/>
      <c r="AU52" s="117"/>
      <c r="AV52" s="117"/>
      <c r="AW52" s="7"/>
    </row>
    <row r="53" spans="2:49" x14ac:dyDescent="0.25">
      <c r="B53" s="27" t="str">
        <f>IF(AND(MAX(Dados!D4:D7)&gt;=1,MAX(Dados!D4:D7)&lt;4),"Haverá mudança do local da subestação:","")</f>
        <v/>
      </c>
      <c r="C53" s="26"/>
      <c r="D53" s="26"/>
      <c r="E53" s="26"/>
      <c r="F53" s="26"/>
      <c r="G53" s="26"/>
      <c r="H53" s="26"/>
      <c r="I53" s="26"/>
      <c r="J53" s="26"/>
      <c r="K53" s="26"/>
      <c r="L53" s="26"/>
      <c r="M53" s="26"/>
      <c r="N53" s="26"/>
      <c r="O53" s="26"/>
      <c r="P53" s="124"/>
      <c r="Q53" s="125"/>
      <c r="U53" s="248" t="str">
        <f>IF(AND(TipoSE="Nº 1",P53="Sim"),"&lt;-- Para SE Nº 1 não pode haver mudança de local do Padrão de Entrada. Altere...","")</f>
        <v/>
      </c>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9"/>
      <c r="AW53" s="66"/>
    </row>
    <row r="54" spans="2:49" ht="3" customHeight="1" thickBot="1" x14ac:dyDescent="0.3">
      <c r="B54" s="27"/>
      <c r="C54" s="26"/>
      <c r="D54" s="26"/>
      <c r="E54" s="26"/>
      <c r="F54" s="26"/>
      <c r="G54" s="26"/>
      <c r="H54" s="26"/>
      <c r="I54" s="26"/>
      <c r="J54" s="26"/>
      <c r="K54" s="26"/>
      <c r="L54" s="26"/>
      <c r="M54" s="26"/>
      <c r="N54" s="26"/>
      <c r="O54" s="26"/>
      <c r="AW54" s="7"/>
    </row>
    <row r="55" spans="2:49" ht="28.5" customHeight="1" x14ac:dyDescent="0.25">
      <c r="B55" s="27" t="s">
        <v>552</v>
      </c>
      <c r="C55" s="26"/>
      <c r="D55" s="26"/>
      <c r="E55" s="26"/>
      <c r="F55" s="26"/>
      <c r="G55" s="26"/>
      <c r="H55" s="26"/>
      <c r="I55" s="26"/>
      <c r="J55" s="26"/>
      <c r="K55" s="26"/>
      <c r="L55" s="26"/>
      <c r="M55" s="26"/>
      <c r="N55" s="26"/>
      <c r="O55" s="26"/>
      <c r="P55" s="124" t="s">
        <v>210</v>
      </c>
      <c r="Q55" s="125"/>
      <c r="S55" s="259" t="str">
        <f>IF(P55="Sim","A unidade consumidora com Grid Zero pode participar do SCEE apenas recebendo execedente de outras unidades consumidoras com MMGD. Verificar item 9.5 em Solicitações e Declarações","")</f>
        <v/>
      </c>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7"/>
    </row>
    <row r="56" spans="2:49" ht="3" customHeight="1" thickBot="1" x14ac:dyDescent="0.3">
      <c r="B56" s="27"/>
      <c r="C56" s="26"/>
      <c r="D56" s="26"/>
      <c r="E56" s="26"/>
      <c r="F56" s="26"/>
      <c r="G56" s="26"/>
      <c r="H56" s="26"/>
      <c r="I56" s="26"/>
      <c r="J56" s="26"/>
      <c r="K56" s="26"/>
      <c r="L56" s="26"/>
      <c r="M56" s="26"/>
      <c r="N56" s="26"/>
      <c r="O56" s="26"/>
      <c r="P56" s="101"/>
      <c r="Q56" s="101"/>
      <c r="AW56" s="7"/>
    </row>
    <row r="57" spans="2:49" ht="24" customHeight="1" x14ac:dyDescent="0.25">
      <c r="B57" s="27" t="s">
        <v>506</v>
      </c>
      <c r="C57" s="26"/>
      <c r="D57" s="26"/>
      <c r="E57" s="26"/>
      <c r="F57" s="26"/>
      <c r="G57" s="26"/>
      <c r="H57" s="26"/>
      <c r="I57" s="26"/>
      <c r="J57" s="26"/>
      <c r="K57" s="26"/>
      <c r="L57" s="26"/>
      <c r="M57" s="26"/>
      <c r="N57" s="26"/>
      <c r="O57" s="26"/>
      <c r="U57" s="118"/>
      <c r="V57" s="118"/>
      <c r="W57" s="118"/>
      <c r="X57" s="118"/>
      <c r="Y57" s="118"/>
      <c r="Z57" s="118"/>
      <c r="AA57" s="118"/>
      <c r="AB57" s="118"/>
      <c r="AC57" s="118"/>
      <c r="AE57" s="124" t="s">
        <v>210</v>
      </c>
      <c r="AF57" s="125"/>
      <c r="AG57" s="105"/>
      <c r="AH57" s="236" t="str">
        <f>IF(AE57=Dados!V5,"Será considerado uma nova UC. Anexar documento que comprove o aluguel/arrendamento","")</f>
        <v/>
      </c>
      <c r="AI57" s="236"/>
      <c r="AJ57" s="236"/>
      <c r="AK57" s="236"/>
      <c r="AL57" s="236"/>
      <c r="AM57" s="236"/>
      <c r="AN57" s="236"/>
      <c r="AO57" s="236"/>
      <c r="AP57" s="236"/>
      <c r="AQ57" s="236"/>
      <c r="AR57" s="236"/>
      <c r="AS57" s="236"/>
      <c r="AT57" s="236"/>
      <c r="AU57" s="236"/>
      <c r="AV57" s="236"/>
      <c r="AW57" s="7"/>
    </row>
    <row r="58" spans="2:49" ht="3" customHeight="1" thickBot="1" x14ac:dyDescent="0.3">
      <c r="B58" s="27"/>
      <c r="C58" s="26"/>
      <c r="D58" s="26"/>
      <c r="E58" s="26"/>
      <c r="F58" s="26"/>
      <c r="G58" s="26"/>
      <c r="H58" s="26"/>
      <c r="I58" s="26"/>
      <c r="J58" s="26"/>
      <c r="K58" s="26"/>
      <c r="L58" s="26"/>
      <c r="M58" s="26"/>
      <c r="N58" s="26"/>
      <c r="O58" s="26"/>
      <c r="U58" s="118"/>
      <c r="V58" s="118"/>
      <c r="W58" s="118"/>
      <c r="X58" s="118"/>
      <c r="Y58" s="118"/>
      <c r="Z58" s="118"/>
      <c r="AA58" s="118"/>
      <c r="AB58" s="118"/>
      <c r="AC58" s="118"/>
      <c r="AE58" s="101"/>
      <c r="AF58" s="101"/>
      <c r="AG58" s="105"/>
      <c r="AH58" s="104"/>
      <c r="AI58" s="104"/>
      <c r="AJ58" s="104"/>
      <c r="AK58" s="104"/>
      <c r="AL58" s="104"/>
      <c r="AM58" s="104"/>
      <c r="AN58" s="104"/>
      <c r="AO58" s="104"/>
      <c r="AP58" s="104"/>
      <c r="AQ58" s="104"/>
      <c r="AR58" s="104"/>
      <c r="AS58" s="104"/>
      <c r="AT58" s="104"/>
      <c r="AU58" s="104"/>
      <c r="AV58" s="104"/>
      <c r="AW58" s="7"/>
    </row>
    <row r="59" spans="2:49" ht="24" customHeight="1" x14ac:dyDescent="0.25">
      <c r="B59" s="27"/>
      <c r="C59" t="s">
        <v>523</v>
      </c>
      <c r="D59" s="26"/>
      <c r="E59" s="26"/>
      <c r="F59" s="26"/>
      <c r="G59" s="26"/>
      <c r="H59" s="26"/>
      <c r="I59" s="26"/>
      <c r="J59" s="26"/>
      <c r="K59" s="26"/>
      <c r="L59" s="26"/>
      <c r="M59" s="26"/>
      <c r="N59" s="26"/>
      <c r="O59" s="26"/>
      <c r="U59" s="118"/>
      <c r="V59" s="118"/>
      <c r="W59" s="118"/>
      <c r="X59" s="118"/>
      <c r="Y59" s="118"/>
      <c r="Z59" s="118"/>
      <c r="AA59" s="118"/>
      <c r="AB59" s="118"/>
      <c r="AC59" s="118"/>
      <c r="AE59" s="101"/>
      <c r="AF59" s="101"/>
      <c r="AG59" s="105"/>
      <c r="AH59" s="104"/>
      <c r="AI59" s="124" t="s">
        <v>210</v>
      </c>
      <c r="AJ59" s="125"/>
      <c r="AK59" s="104"/>
      <c r="AL59" s="126" t="str">
        <f>IF(AI59=Dados!V6,"É necessário representar as 2 instalações (existente + telhado) no DUB e memorial descritivo","")</f>
        <v>É necessário representar as 2 instalações (existente + telhado) no DUB e memorial descritivo</v>
      </c>
      <c r="AM59" s="126"/>
      <c r="AN59" s="126"/>
      <c r="AO59" s="126"/>
      <c r="AP59" s="126"/>
      <c r="AQ59" s="126"/>
      <c r="AR59" s="126"/>
      <c r="AS59" s="126"/>
      <c r="AT59" s="126"/>
      <c r="AU59" s="126"/>
      <c r="AV59" s="126"/>
      <c r="AW59" s="7"/>
    </row>
    <row r="60" spans="2:49" ht="3" customHeight="1" thickBot="1" x14ac:dyDescent="0.3">
      <c r="B60" s="27"/>
      <c r="C60" s="26"/>
      <c r="D60" s="26"/>
      <c r="E60" s="26"/>
      <c r="F60" s="26"/>
      <c r="G60" s="26"/>
      <c r="H60" s="26"/>
      <c r="I60" s="26"/>
      <c r="J60" s="26"/>
      <c r="K60" s="26"/>
      <c r="L60" s="26"/>
      <c r="M60" s="26"/>
      <c r="N60" s="26"/>
      <c r="O60" s="26"/>
      <c r="AG60" s="105"/>
      <c r="AH60" s="104"/>
      <c r="AI60" s="104"/>
      <c r="AJ60" s="104"/>
      <c r="AK60" s="104"/>
      <c r="AL60" s="104"/>
      <c r="AM60" s="104"/>
      <c r="AN60" s="104"/>
      <c r="AO60" s="104"/>
      <c r="AP60" s="104"/>
      <c r="AQ60" s="104"/>
      <c r="AR60" s="104"/>
      <c r="AS60" s="104"/>
      <c r="AT60" s="104"/>
      <c r="AU60" s="104"/>
      <c r="AV60" s="104"/>
      <c r="AW60" s="7"/>
    </row>
    <row r="61" spans="2:49" ht="15" customHeight="1" x14ac:dyDescent="0.25">
      <c r="B61" s="27"/>
      <c r="C61" t="s">
        <v>524</v>
      </c>
      <c r="Q61" s="136"/>
      <c r="R61" s="137"/>
      <c r="S61" s="137"/>
      <c r="T61" s="137"/>
      <c r="U61" s="137"/>
      <c r="V61" s="138"/>
      <c r="Y61" t="s">
        <v>525</v>
      </c>
      <c r="AG61" s="105"/>
      <c r="AH61" s="104"/>
      <c r="AI61" s="104"/>
      <c r="AJ61" s="104"/>
      <c r="AK61" s="104"/>
      <c r="AL61" s="104"/>
      <c r="AM61" s="104"/>
      <c r="AN61" s="246"/>
      <c r="AO61" s="247"/>
      <c r="AP61" s="247"/>
      <c r="AQ61" s="247"/>
      <c r="AR61" s="247"/>
      <c r="AS61" s="247"/>
      <c r="AT61" s="104"/>
      <c r="AU61" s="104"/>
      <c r="AV61" s="104"/>
      <c r="AW61" s="7"/>
    </row>
    <row r="62" spans="2:49" ht="3" customHeight="1" x14ac:dyDescent="0.25">
      <c r="B62" s="10"/>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1"/>
    </row>
    <row r="63" spans="2:49" ht="3" customHeight="1" x14ac:dyDescent="0.25">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row>
    <row r="64" spans="2:49" ht="15" customHeight="1" x14ac:dyDescent="0.25">
      <c r="B64" s="130" t="s">
        <v>447</v>
      </c>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c r="AE64" s="131"/>
      <c r="AF64" s="131"/>
      <c r="AG64" s="131"/>
      <c r="AH64" s="131"/>
      <c r="AI64" s="131"/>
      <c r="AJ64" s="131"/>
      <c r="AK64" s="131"/>
      <c r="AL64" s="131"/>
      <c r="AM64" s="131"/>
      <c r="AN64" s="131"/>
      <c r="AO64" s="131"/>
      <c r="AP64" s="131"/>
      <c r="AQ64" s="131"/>
      <c r="AR64" s="131"/>
      <c r="AS64" s="131"/>
      <c r="AT64" s="131"/>
      <c r="AU64" s="131"/>
      <c r="AV64" s="131"/>
      <c r="AW64" s="132"/>
    </row>
    <row r="65" spans="2:49" ht="3" customHeight="1" x14ac:dyDescent="0.25">
      <c r="B65" s="12"/>
      <c r="C65" s="13"/>
      <c r="D65" s="13"/>
      <c r="E65" s="112"/>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4"/>
    </row>
    <row r="66" spans="2:49" ht="15" customHeight="1" x14ac:dyDescent="0.25">
      <c r="B66" s="122" t="s">
        <v>448</v>
      </c>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K66" s="123"/>
      <c r="AL66" s="123"/>
      <c r="AM66" s="123"/>
      <c r="AN66" s="123"/>
      <c r="AO66" s="123"/>
      <c r="AP66" s="123"/>
      <c r="AQ66" s="123"/>
      <c r="AR66" s="123"/>
      <c r="AS66" s="123"/>
      <c r="AT66" s="123"/>
      <c r="AU66" s="123"/>
      <c r="AV66" s="44"/>
      <c r="AW66" s="45"/>
    </row>
    <row r="67" spans="2:49" ht="3" customHeight="1" x14ac:dyDescent="0.25">
      <c r="B67" s="43"/>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5"/>
    </row>
    <row r="68" spans="2:49" ht="15" customHeight="1" x14ac:dyDescent="0.25">
      <c r="B68" s="43" t="s">
        <v>547</v>
      </c>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5"/>
    </row>
    <row r="69" spans="2:49" ht="3" customHeight="1" x14ac:dyDescent="0.25">
      <c r="B69" s="43"/>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5"/>
    </row>
    <row r="70" spans="2:49" ht="15" customHeight="1" x14ac:dyDescent="0.25">
      <c r="B70" s="43" t="s">
        <v>449</v>
      </c>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5"/>
    </row>
    <row r="71" spans="2:49" ht="3" customHeight="1" x14ac:dyDescent="0.25">
      <c r="B71" s="43"/>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5"/>
    </row>
    <row r="72" spans="2:49" ht="15" customHeight="1" x14ac:dyDescent="0.25">
      <c r="B72" s="43" t="s">
        <v>450</v>
      </c>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5"/>
    </row>
    <row r="73" spans="2:49" ht="3" customHeight="1" x14ac:dyDescent="0.25">
      <c r="B73" s="43"/>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5"/>
    </row>
    <row r="74" spans="2:49" ht="45.75" customHeight="1" x14ac:dyDescent="0.25">
      <c r="B74" s="133" t="s">
        <v>451</v>
      </c>
      <c r="C74" s="134"/>
      <c r="D74" s="134"/>
      <c r="E74" s="134"/>
      <c r="F74" s="134"/>
      <c r="G74" s="134"/>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7"/>
    </row>
    <row r="75" spans="2:49" ht="3" customHeight="1" x14ac:dyDescent="0.25">
      <c r="B75" s="43"/>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5"/>
    </row>
    <row r="76" spans="2:49" ht="47.85" customHeight="1" x14ac:dyDescent="0.25">
      <c r="B76" s="133" t="s">
        <v>545</v>
      </c>
      <c r="C76" s="134"/>
      <c r="D76" s="134"/>
      <c r="E76" s="134"/>
      <c r="F76" s="134"/>
      <c r="G76" s="134"/>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7"/>
    </row>
    <row r="77" spans="2:49" ht="3" customHeight="1" x14ac:dyDescent="0.25">
      <c r="B77" s="43"/>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5"/>
    </row>
    <row r="78" spans="2:49" ht="30" customHeight="1" x14ac:dyDescent="0.25">
      <c r="B78" s="133" t="s">
        <v>452</v>
      </c>
      <c r="C78" s="134"/>
      <c r="D78" s="134"/>
      <c r="E78" s="134"/>
      <c r="F78" s="134"/>
      <c r="G78" s="134"/>
      <c r="H78" s="134"/>
      <c r="I78" s="134"/>
      <c r="J78" s="134"/>
      <c r="K78" s="134"/>
      <c r="L78" s="134"/>
      <c r="M78" s="134"/>
      <c r="N78" s="134"/>
      <c r="O78" s="134"/>
      <c r="P78" s="134"/>
      <c r="Q78" s="134"/>
      <c r="R78" s="134"/>
      <c r="S78" s="134"/>
      <c r="T78" s="134"/>
      <c r="U78" s="134"/>
      <c r="V78" s="134"/>
      <c r="W78" s="134"/>
      <c r="X78" s="134"/>
      <c r="Y78" s="134"/>
      <c r="Z78" s="134"/>
      <c r="AA78" s="134"/>
      <c r="AB78" s="134"/>
      <c r="AC78" s="134"/>
      <c r="AD78" s="134"/>
      <c r="AE78" s="134"/>
      <c r="AF78" s="134"/>
      <c r="AG78" s="134"/>
      <c r="AH78" s="134"/>
      <c r="AI78" s="134"/>
      <c r="AJ78" s="134"/>
      <c r="AK78" s="134"/>
      <c r="AL78" s="134"/>
      <c r="AM78" s="134"/>
      <c r="AN78" s="134"/>
      <c r="AO78" s="134"/>
      <c r="AP78" s="134"/>
      <c r="AQ78" s="134"/>
      <c r="AR78" s="134"/>
      <c r="AS78" s="134"/>
      <c r="AT78" s="134"/>
      <c r="AU78" s="134"/>
      <c r="AV78" s="134"/>
      <c r="AW78" s="7"/>
    </row>
    <row r="79" spans="2:49" ht="3" customHeight="1" x14ac:dyDescent="0.25">
      <c r="B79" s="11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7"/>
    </row>
    <row r="80" spans="2:49" ht="30" customHeight="1" x14ac:dyDescent="0.25">
      <c r="B80" s="133" t="s">
        <v>453</v>
      </c>
      <c r="C80" s="134"/>
      <c r="D80" s="134"/>
      <c r="E80" s="134"/>
      <c r="F80" s="134"/>
      <c r="G80" s="134"/>
      <c r="H80" s="134"/>
      <c r="I80" s="134"/>
      <c r="J80" s="134"/>
      <c r="K80" s="134"/>
      <c r="L80" s="134"/>
      <c r="M80" s="134"/>
      <c r="N80" s="134"/>
      <c r="O80" s="134"/>
      <c r="P80" s="134"/>
      <c r="Q80" s="134"/>
      <c r="R80" s="134"/>
      <c r="S80" s="134"/>
      <c r="T80" s="134"/>
      <c r="U80" s="134"/>
      <c r="V80" s="134"/>
      <c r="W80" s="134"/>
      <c r="X80" s="134"/>
      <c r="Y80" s="134"/>
      <c r="Z80" s="134"/>
      <c r="AA80" s="134"/>
      <c r="AB80" s="134"/>
      <c r="AC80" s="134"/>
      <c r="AD80" s="134"/>
      <c r="AE80" s="134"/>
      <c r="AF80" s="134"/>
      <c r="AG80" s="134"/>
      <c r="AH80" s="134"/>
      <c r="AI80" s="134"/>
      <c r="AJ80" s="134"/>
      <c r="AK80" s="134"/>
      <c r="AL80" s="134"/>
      <c r="AM80" s="134"/>
      <c r="AN80" s="134"/>
      <c r="AO80" s="134"/>
      <c r="AP80" s="134"/>
      <c r="AQ80" s="134"/>
      <c r="AR80" s="134"/>
      <c r="AS80" s="134"/>
      <c r="AT80" s="134"/>
      <c r="AU80" s="134"/>
      <c r="AV80" s="134"/>
      <c r="AW80" s="7"/>
    </row>
    <row r="81" spans="2:49" ht="3" customHeight="1" x14ac:dyDescent="0.25">
      <c r="B81" s="11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7"/>
    </row>
    <row r="82" spans="2:49" ht="30" customHeight="1" x14ac:dyDescent="0.25">
      <c r="B82" s="133" t="s">
        <v>454</v>
      </c>
      <c r="C82" s="134"/>
      <c r="D82" s="134"/>
      <c r="E82" s="134"/>
      <c r="F82" s="134"/>
      <c r="G82" s="134"/>
      <c r="H82" s="134"/>
      <c r="I82" s="134"/>
      <c r="J82" s="134"/>
      <c r="K82" s="134"/>
      <c r="L82" s="134"/>
      <c r="M82" s="134"/>
      <c r="N82" s="134"/>
      <c r="O82" s="134"/>
      <c r="P82" s="134"/>
      <c r="Q82" s="134"/>
      <c r="R82" s="134"/>
      <c r="S82" s="134"/>
      <c r="T82" s="134"/>
      <c r="U82" s="134"/>
      <c r="V82" s="134"/>
      <c r="W82" s="134"/>
      <c r="X82" s="134"/>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7"/>
    </row>
    <row r="83" spans="2:49" ht="3" customHeight="1" x14ac:dyDescent="0.25">
      <c r="B83" s="111"/>
      <c r="C83" s="51"/>
      <c r="D83" s="51"/>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7"/>
    </row>
    <row r="84" spans="2:49" ht="30" customHeight="1" x14ac:dyDescent="0.25">
      <c r="B84" s="133" t="s">
        <v>455</v>
      </c>
      <c r="C84" s="134"/>
      <c r="D84" s="134"/>
      <c r="E84" s="134"/>
      <c r="F84" s="134"/>
      <c r="G84" s="134"/>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7"/>
    </row>
    <row r="85" spans="2:49" ht="3" customHeight="1" x14ac:dyDescent="0.25">
      <c r="B85" s="10"/>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1"/>
    </row>
    <row r="86" spans="2:49" ht="3" customHeight="1" x14ac:dyDescent="0.25">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2:49" x14ac:dyDescent="0.25">
      <c r="B87" s="204" t="s">
        <v>444</v>
      </c>
      <c r="C87" s="205"/>
      <c r="D87" s="205"/>
      <c r="E87" s="205"/>
      <c r="F87" s="205"/>
      <c r="G87" s="205"/>
      <c r="H87" s="205"/>
      <c r="I87" s="205"/>
      <c r="J87" s="205"/>
      <c r="K87" s="205"/>
      <c r="L87" s="205"/>
      <c r="M87" s="205"/>
      <c r="N87" s="205"/>
      <c r="O87" s="205"/>
      <c r="P87" s="205"/>
      <c r="Q87" s="205"/>
      <c r="R87" s="205"/>
      <c r="S87" s="205"/>
      <c r="T87" s="205"/>
      <c r="U87" s="205"/>
      <c r="V87" s="205"/>
      <c r="W87" s="205"/>
      <c r="X87" s="205"/>
      <c r="Y87" s="205"/>
      <c r="Z87" s="205"/>
      <c r="AA87" s="205"/>
      <c r="AB87" s="205"/>
      <c r="AC87" s="205"/>
      <c r="AD87" s="205"/>
      <c r="AE87" s="205"/>
      <c r="AF87" s="205"/>
      <c r="AG87" s="205"/>
      <c r="AH87" s="205"/>
      <c r="AI87" s="205"/>
      <c r="AJ87" s="205"/>
      <c r="AK87" s="205"/>
      <c r="AL87" s="205"/>
      <c r="AM87" s="205"/>
      <c r="AN87" s="205"/>
      <c r="AO87" s="205"/>
      <c r="AP87" s="205"/>
      <c r="AQ87" s="205"/>
      <c r="AR87" s="205"/>
      <c r="AS87" s="205"/>
      <c r="AT87" s="205"/>
      <c r="AU87" s="205"/>
      <c r="AV87" s="205"/>
      <c r="AW87" s="32"/>
    </row>
    <row r="88" spans="2:49" ht="3" customHeight="1" thickBot="1" x14ac:dyDescent="0.3">
      <c r="B88" s="12"/>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4"/>
    </row>
    <row r="89" spans="2:49" ht="15" customHeight="1" x14ac:dyDescent="0.25">
      <c r="B89" s="9" t="s">
        <v>400</v>
      </c>
      <c r="R89" s="139">
        <v>1</v>
      </c>
      <c r="S89" s="140"/>
      <c r="AW89" s="7"/>
    </row>
    <row r="90" spans="2:49" ht="3" customHeight="1" x14ac:dyDescent="0.25">
      <c r="B90" s="9"/>
      <c r="AW90" s="7"/>
    </row>
    <row r="91" spans="2:49" ht="3" customHeight="1" thickBot="1" x14ac:dyDescent="0.3">
      <c r="B91" s="9"/>
      <c r="AW91" s="7"/>
    </row>
    <row r="92" spans="2:49" ht="15" customHeight="1" x14ac:dyDescent="0.25">
      <c r="B92" s="9" t="s">
        <v>34</v>
      </c>
      <c r="U92" s="142" t="str">
        <f>IFERROR(IF(R89=1,AF92,AF92+AR92),"")</f>
        <v/>
      </c>
      <c r="V92" s="143"/>
      <c r="W92" s="143"/>
      <c r="Y92" t="s">
        <v>402</v>
      </c>
      <c r="AF92" s="142" t="str">
        <f>IF(OR(TipoFonte="Hidráulica",TipoFonte="Eólica"),P111,IF(AND(TipoFonte&lt;&gt;"Eólica",P109+P111=0),"",MIN(P109,P111)))</f>
        <v/>
      </c>
      <c r="AG92" s="143"/>
      <c r="AH92" s="143"/>
      <c r="AJ92" t="s">
        <v>403</v>
      </c>
      <c r="AR92" s="142" t="str">
        <f>IF(OR(TipoFonte2="Hidráulica",TipoFonte2="Eólica"),P151,IF(AND(TipoFonte2&lt;&gt;"Eólica",P149+P151=0),"",MIN(P149,P151)))</f>
        <v/>
      </c>
      <c r="AS92" s="143"/>
      <c r="AT92" s="143"/>
      <c r="AW92" s="7"/>
    </row>
    <row r="93" spans="2:49" ht="3" customHeight="1" thickBot="1" x14ac:dyDescent="0.3">
      <c r="B93" s="9"/>
      <c r="AW93" s="7"/>
    </row>
    <row r="94" spans="2:49" x14ac:dyDescent="0.25">
      <c r="B94" s="9" t="s">
        <v>10</v>
      </c>
      <c r="L94" s="124"/>
      <c r="M94" s="141"/>
      <c r="N94" s="141"/>
      <c r="O94" s="141"/>
      <c r="P94" s="141"/>
      <c r="Q94" s="141"/>
      <c r="R94" s="141"/>
      <c r="S94" s="141"/>
      <c r="T94" s="141"/>
      <c r="U94" s="141"/>
      <c r="V94" s="141"/>
      <c r="W94" s="141"/>
      <c r="X94" s="141"/>
      <c r="Y94" s="141"/>
      <c r="Z94" s="141"/>
      <c r="AA94" s="141"/>
      <c r="AB94" s="141"/>
      <c r="AC94" s="141"/>
      <c r="AD94" s="125"/>
      <c r="AE94" s="260" t="s">
        <v>57</v>
      </c>
      <c r="AF94" s="150"/>
      <c r="AG94" s="150"/>
      <c r="AH94" s="150"/>
      <c r="AI94" s="150"/>
      <c r="AJ94" s="150"/>
      <c r="AK94" s="150"/>
      <c r="AL94" s="150"/>
      <c r="AM94" s="150"/>
      <c r="AN94" s="150"/>
      <c r="AO94" s="150"/>
      <c r="AP94" s="150"/>
      <c r="AQ94" s="150"/>
      <c r="AR94" s="151"/>
      <c r="AS94" s="139"/>
      <c r="AT94" s="227"/>
      <c r="AU94" s="227"/>
      <c r="AV94" s="140"/>
      <c r="AW94" s="7"/>
    </row>
    <row r="95" spans="2:49" ht="3" customHeight="1" thickBot="1" x14ac:dyDescent="0.3">
      <c r="B95" s="9"/>
      <c r="L95" s="15"/>
      <c r="M95" s="15"/>
      <c r="N95" s="15"/>
      <c r="O95" s="15"/>
      <c r="P95" s="15"/>
      <c r="Q95" s="15"/>
      <c r="R95" s="15"/>
      <c r="S95" s="15"/>
      <c r="T95" s="15"/>
      <c r="U95" s="15"/>
      <c r="V95" s="15"/>
      <c r="W95" s="15"/>
      <c r="X95" s="15"/>
      <c r="Y95" s="15"/>
      <c r="Z95" s="15"/>
      <c r="AA95" s="15"/>
      <c r="AB95" s="15"/>
      <c r="AC95" s="15"/>
      <c r="AD95" s="15"/>
      <c r="AE95" s="61"/>
      <c r="AF95" s="61"/>
      <c r="AG95" s="61"/>
      <c r="AH95" s="61"/>
      <c r="AI95" s="61"/>
      <c r="AJ95" s="61"/>
      <c r="AK95" s="61"/>
      <c r="AL95" s="61"/>
      <c r="AM95" s="61"/>
      <c r="AN95" s="61"/>
      <c r="AO95" s="61"/>
      <c r="AP95" s="61"/>
      <c r="AQ95" s="61"/>
      <c r="AR95" s="61"/>
      <c r="AS95" s="5"/>
      <c r="AT95" s="5"/>
      <c r="AU95" s="5"/>
      <c r="AV95" s="5"/>
      <c r="AW95" s="7"/>
    </row>
    <row r="96" spans="2:49" ht="15" customHeight="1" x14ac:dyDescent="0.25">
      <c r="B96" s="9"/>
      <c r="C96" t="s">
        <v>504</v>
      </c>
      <c r="L96" s="15"/>
      <c r="M96" s="15"/>
      <c r="O96" s="124"/>
      <c r="P96" s="125"/>
      <c r="Q96" s="15"/>
      <c r="R96" s="119" t="s">
        <v>508</v>
      </c>
      <c r="S96" s="15"/>
      <c r="T96" s="15"/>
      <c r="W96" s="15"/>
      <c r="X96" s="15"/>
      <c r="Y96" s="15"/>
      <c r="Z96" s="15"/>
      <c r="AA96" s="15"/>
      <c r="AB96" s="15"/>
      <c r="AC96" s="15"/>
      <c r="AD96" s="15"/>
      <c r="AE96" s="61"/>
      <c r="AF96" s="61"/>
      <c r="AG96" s="61"/>
      <c r="AH96" s="61"/>
      <c r="AI96" s="61"/>
      <c r="AJ96" s="61"/>
      <c r="AK96" s="61"/>
      <c r="AL96" s="61"/>
      <c r="AM96" s="61"/>
      <c r="AN96" s="61"/>
      <c r="AO96" s="61"/>
      <c r="AP96" s="61"/>
      <c r="AQ96" s="61"/>
      <c r="AR96" s="61"/>
      <c r="AS96" s="5"/>
      <c r="AT96" s="5"/>
      <c r="AU96" s="5"/>
      <c r="AV96" s="5"/>
      <c r="AW96" s="7"/>
    </row>
    <row r="97" spans="2:49" ht="3" customHeight="1" x14ac:dyDescent="0.25">
      <c r="B97" s="10"/>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1"/>
    </row>
    <row r="98" spans="2:49" x14ac:dyDescent="0.25">
      <c r="B98" s="130" t="s">
        <v>445</v>
      </c>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2"/>
    </row>
    <row r="99" spans="2:49" ht="3" customHeight="1" thickBot="1" x14ac:dyDescent="0.3">
      <c r="B99" s="152"/>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3"/>
      <c r="AJ99" s="153"/>
      <c r="AK99" s="153"/>
      <c r="AL99" s="153"/>
      <c r="AM99" s="153"/>
      <c r="AN99" s="153"/>
      <c r="AO99" s="153"/>
      <c r="AP99" s="153"/>
      <c r="AQ99" s="153"/>
      <c r="AR99" s="153"/>
      <c r="AS99" s="153"/>
      <c r="AT99" s="153"/>
      <c r="AU99" s="153"/>
      <c r="AV99" s="153"/>
      <c r="AW99" s="154"/>
    </row>
    <row r="100" spans="2:49" ht="15" customHeight="1" thickBot="1" x14ac:dyDescent="0.3">
      <c r="B100" s="9" t="s">
        <v>471</v>
      </c>
      <c r="L100" s="261" t="s">
        <v>397</v>
      </c>
      <c r="M100" s="262"/>
      <c r="N100" s="262"/>
      <c r="O100" s="262"/>
      <c r="P100" s="262"/>
      <c r="Q100" s="262"/>
      <c r="R100" s="262"/>
      <c r="S100" s="263"/>
      <c r="T100" s="264"/>
      <c r="U100" s="264"/>
      <c r="V100" s="264"/>
      <c r="W100" s="264"/>
      <c r="X100" s="264"/>
      <c r="Y100" s="264"/>
      <c r="Z100" s="265"/>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00"/>
    </row>
    <row r="101" spans="2:49" ht="3" customHeight="1" thickBot="1" x14ac:dyDescent="0.3">
      <c r="B101" s="99"/>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00"/>
    </row>
    <row r="102" spans="2:49" ht="15" customHeight="1" x14ac:dyDescent="0.25">
      <c r="B102" s="9" t="s">
        <v>478</v>
      </c>
      <c r="H102" s="124" t="s">
        <v>475</v>
      </c>
      <c r="I102" s="141"/>
      <c r="J102" s="141"/>
      <c r="K102" s="141"/>
      <c r="L102" s="141"/>
      <c r="M102" s="141"/>
      <c r="N102" s="141"/>
      <c r="O102" s="141"/>
      <c r="P102" s="141"/>
      <c r="Q102" s="141"/>
      <c r="R102" s="141"/>
      <c r="S102" s="141"/>
      <c r="T102" s="141"/>
      <c r="U102" s="141"/>
      <c r="V102" s="141"/>
      <c r="W102" s="141"/>
      <c r="X102" s="141"/>
      <c r="Y102" s="141"/>
      <c r="Z102" s="125"/>
      <c r="AB102" s="124"/>
      <c r="AC102" s="141"/>
      <c r="AD102" s="141"/>
      <c r="AE102" s="141"/>
      <c r="AF102" s="141"/>
      <c r="AG102" s="141"/>
      <c r="AH102" s="141"/>
      <c r="AI102" s="141"/>
      <c r="AJ102" s="141"/>
      <c r="AK102" s="141"/>
      <c r="AL102" s="141"/>
      <c r="AM102" s="141"/>
      <c r="AN102" s="141"/>
      <c r="AO102" s="141"/>
      <c r="AP102" s="141"/>
      <c r="AQ102" s="141"/>
      <c r="AR102" s="141"/>
      <c r="AS102" s="141"/>
      <c r="AT102" s="125"/>
      <c r="AW102" s="100"/>
    </row>
    <row r="103" spans="2:49" ht="3" customHeight="1" x14ac:dyDescent="0.25">
      <c r="B103" s="99"/>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00"/>
    </row>
    <row r="104" spans="2:49" ht="28.5" customHeight="1" x14ac:dyDescent="0.25">
      <c r="B104" s="234" t="str">
        <f>IF(TipoFonte="Solar","Preencher o quadro abaixo para projeto de CENTRAL GERADORA FOTOVOLTAICA.",IF(TipoFonte="Hidráulica","Preencher o quadro abaixo para projeto de CENTRAL GERADORA HIDRELÉTRICA - CGH. Preencher também a seção de Segurança das Barragens conforme a Lei 12.334/2010",IF(OR(TipoFonte="Cogeração Qualificada",TipoFonte="Biomassa")," Preencher o quadro abaixo para projeto de CENTRAL GERADORA TÉRMICA.",IF(TipoFonte="Eólica"," Preencher o quadro abaixo para projeto de CENTRAL GERADORA EÓLICA.",""))))</f>
        <v>Preencher o quadro abaixo para projeto de CENTRAL GERADORA FOTOVOLTAICA.</v>
      </c>
      <c r="C104" s="235"/>
      <c r="D104" s="235"/>
      <c r="E104" s="235"/>
      <c r="F104" s="235"/>
      <c r="G104" s="235"/>
      <c r="H104" s="235"/>
      <c r="I104" s="235"/>
      <c r="J104" s="235"/>
      <c r="K104" s="235"/>
      <c r="L104" s="235"/>
      <c r="M104" s="235"/>
      <c r="N104" s="235"/>
      <c r="O104" s="235"/>
      <c r="P104" s="235"/>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7"/>
    </row>
    <row r="105" spans="2:49" ht="3" customHeight="1" x14ac:dyDescent="0.25">
      <c r="B105" s="35"/>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7"/>
    </row>
    <row r="106" spans="2:49" ht="3" customHeight="1" x14ac:dyDescent="0.25">
      <c r="B106" s="9"/>
      <c r="AW106" s="7"/>
    </row>
    <row r="107" spans="2:49" ht="15" customHeight="1" x14ac:dyDescent="0.25">
      <c r="B107" s="9"/>
      <c r="C107" s="242" t="str">
        <f>IF(Dados!D6=3," Os dados abaixo deverão ser preenchidos considerando a condição final da usina (potência atual + potência acrescida)","")</f>
        <v/>
      </c>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2"/>
      <c r="AW107" s="7"/>
    </row>
    <row r="108" spans="2:49" ht="6" customHeight="1" thickBot="1" x14ac:dyDescent="0.3">
      <c r="B108" s="9"/>
      <c r="AW108" s="7"/>
    </row>
    <row r="109" spans="2:49" ht="15" customHeight="1" x14ac:dyDescent="0.25">
      <c r="B109" s="9" t="str">
        <f>IF(TipoFonte="Solar","Potência Total Módulos (kW):",IF(OR(TipoFonte="Hidráulica",TipoFonte="Biomassa",TipoFonte="Cogeração Qualificada"),"Potência Aparente (kVA):",IF(TipoFonte="Eólica","Quantidade de Aerogeradores:","")))</f>
        <v>Potência Total Módulos (kW):</v>
      </c>
      <c r="P109" s="243"/>
      <c r="Q109" s="244"/>
      <c r="R109" s="244"/>
      <c r="S109" s="244"/>
      <c r="T109" s="244"/>
      <c r="U109" s="244"/>
      <c r="V109" s="245"/>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W109" s="7"/>
    </row>
    <row r="110" spans="2:49" ht="3.95" customHeight="1" thickBot="1" x14ac:dyDescent="0.3">
      <c r="B110" s="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W110" s="7"/>
    </row>
    <row r="111" spans="2:49" ht="15" customHeight="1" x14ac:dyDescent="0.25">
      <c r="B111" s="9" t="str">
        <f>IF(TipoFonte="Solar","Potência Total Inversores (kW):",IF(OR(TipoFonte="Hidráulica",TipoFonte="Biomassa",TipoFonte="Eólica",TipoFonte="Cogeração Qualificada"),"Potência Instalada (kW):",""))</f>
        <v>Potência Total Inversores (kW):</v>
      </c>
      <c r="P111" s="127"/>
      <c r="Q111" s="128"/>
      <c r="R111" s="128"/>
      <c r="S111" s="128"/>
      <c r="T111" s="128"/>
      <c r="U111" s="128"/>
      <c r="V111" s="12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W111" s="7"/>
    </row>
    <row r="112" spans="2:49" ht="3.95" customHeight="1" thickBot="1" x14ac:dyDescent="0.3">
      <c r="B112" s="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W112" s="7"/>
    </row>
    <row r="113" spans="2:49" ht="15" customHeight="1" x14ac:dyDescent="0.25">
      <c r="B113" s="9" t="str">
        <f>IF(TipoFonte="Solar","Área dos Arranjos (m²):",IF(OR(TipoFonte="Hidráulica",TipoFonte="Biomassa",TipoFonte="Eólica",TipoFonte="Cogeração Qualificada"),"Fator de Potência:",""))</f>
        <v>Área dos Arranjos (m²):</v>
      </c>
      <c r="P113" s="127"/>
      <c r="Q113" s="128"/>
      <c r="R113" s="128"/>
      <c r="S113" s="128"/>
      <c r="T113" s="128"/>
      <c r="U113" s="128"/>
      <c r="V113" s="12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W113" s="7"/>
    </row>
    <row r="114" spans="2:49" ht="3.95" customHeight="1" thickBot="1" x14ac:dyDescent="0.3">
      <c r="B114" s="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W114" s="7"/>
    </row>
    <row r="115" spans="2:49" ht="15" customHeight="1" x14ac:dyDescent="0.25">
      <c r="B115" s="9" t="str">
        <f>IF(TipoFonte="Solar","Quantidade de Módulos:",IF(TipoFonte="Hidráulica","Tensão (kV):",IF(OR(TipoFonte="Cogeração Qualificada",TipoFonte="Biomassa"),"Combustível:",IF(TipoFonte="Eólica","Fabricante dos Aerogeradores:",""))))</f>
        <v>Quantidade de Módulos:</v>
      </c>
      <c r="P115" s="144"/>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6"/>
      <c r="AW115" s="7"/>
    </row>
    <row r="116" spans="2:49" ht="3" customHeight="1" thickBot="1" x14ac:dyDescent="0.3">
      <c r="B116" s="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W116" s="7"/>
    </row>
    <row r="117" spans="2:49" ht="15" customHeight="1" x14ac:dyDescent="0.25">
      <c r="B117" s="9" t="str">
        <f>IF(TipoFonte="Solar","Modelo dos Módulos:",IF(OR(TipoFonte="Cogeração Qualificada",TipoFonte="Biomassa"),"Máquina Motriz (Motor/Turbina):",IF(TipoFonte="Eólica","Altura da pá (m):",IF(TipoFonte="Hidráulica","Nome do rio:",""))))</f>
        <v>Modelo dos Módulos:</v>
      </c>
      <c r="P117" s="147"/>
      <c r="Q117" s="148"/>
      <c r="R117" s="148"/>
      <c r="S117" s="148"/>
      <c r="T117" s="148"/>
      <c r="U117" s="148"/>
      <c r="V117" s="148"/>
      <c r="W117" s="148"/>
      <c r="X117" s="148"/>
      <c r="Y117" s="148"/>
      <c r="Z117" s="148"/>
      <c r="AA117" s="148"/>
      <c r="AB117" s="148"/>
      <c r="AC117" s="148"/>
      <c r="AD117" s="148"/>
      <c r="AE117" s="148"/>
      <c r="AF117" s="148"/>
      <c r="AG117" s="148"/>
      <c r="AH117" s="148"/>
      <c r="AI117" s="148"/>
      <c r="AJ117" s="148"/>
      <c r="AK117" s="148"/>
      <c r="AL117" s="148"/>
      <c r="AM117" s="148"/>
      <c r="AN117" s="148"/>
      <c r="AO117" s="148"/>
      <c r="AP117" s="148"/>
      <c r="AQ117" s="148"/>
      <c r="AR117" s="148"/>
      <c r="AS117" s="148"/>
      <c r="AT117" s="148"/>
      <c r="AU117" s="149"/>
      <c r="AW117" s="7"/>
    </row>
    <row r="118" spans="2:49" ht="3" customHeight="1" thickBot="1" x14ac:dyDescent="0.3">
      <c r="B118" s="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c r="AN118" s="69"/>
      <c r="AO118" s="69"/>
      <c r="AP118" s="69"/>
      <c r="AQ118" s="69"/>
      <c r="AR118" s="69"/>
      <c r="AS118" s="69"/>
      <c r="AT118" s="69"/>
      <c r="AU118" s="69"/>
      <c r="AW118" s="7"/>
    </row>
    <row r="119" spans="2:49" ht="15" customHeight="1" x14ac:dyDescent="0.25">
      <c r="B119" s="9" t="str">
        <f>IF(TipoFonte="Solar","Fabricante dos Módulos:",IF(TipoFonte="Hidráulica","Nível Oper. Normal de Jusante (m):",IF(OR(TipoFonte="Cogeração Qualificada",TipoFonte="Biomassa"),"Ciclo Termodinâmico (Aberto/Fechado):",IF(TipoFonte="Eólica","Eixo do rotor:",""))))</f>
        <v>Fabricante dos Módulos:</v>
      </c>
      <c r="P119" s="147"/>
      <c r="Q119" s="148"/>
      <c r="R119" s="148"/>
      <c r="S119" s="148"/>
      <c r="T119" s="148"/>
      <c r="U119" s="148"/>
      <c r="V119" s="148"/>
      <c r="W119" s="148"/>
      <c r="X119" s="148"/>
      <c r="Y119" s="148"/>
      <c r="Z119" s="148"/>
      <c r="AA119" s="148"/>
      <c r="AB119" s="148"/>
      <c r="AC119" s="148"/>
      <c r="AD119" s="148"/>
      <c r="AE119" s="148"/>
      <c r="AF119" s="148"/>
      <c r="AG119" s="148"/>
      <c r="AH119" s="148"/>
      <c r="AI119" s="148"/>
      <c r="AJ119" s="148"/>
      <c r="AK119" s="148"/>
      <c r="AL119" s="148"/>
      <c r="AM119" s="148"/>
      <c r="AN119" s="148"/>
      <c r="AO119" s="148"/>
      <c r="AP119" s="148"/>
      <c r="AQ119" s="148"/>
      <c r="AR119" s="148"/>
      <c r="AS119" s="148"/>
      <c r="AT119" s="148"/>
      <c r="AU119" s="149"/>
      <c r="AW119" s="7"/>
    </row>
    <row r="120" spans="2:49" ht="3" customHeight="1" thickBot="1" x14ac:dyDescent="0.3">
      <c r="B120" s="9"/>
      <c r="P120" s="70"/>
      <c r="Q120" s="70"/>
      <c r="R120" s="70"/>
      <c r="S120" s="70"/>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W120" s="7"/>
    </row>
    <row r="121" spans="2:49" ht="15" customHeight="1" x14ac:dyDescent="0.25">
      <c r="B121" s="9" t="str">
        <f>IF(TipoFonte="Solar","Quantidade de Inversores:",IF(OR(TipoFonte="Cogeração Qualificada",TipoFonte="Biomassa"),"Nº do Despacho de qualificação:",IF(TipoFonte="Eólica","Modelo dos Aerogeradores:",IF(TipoFonte="Hidráulica","Nível Opera. Normal de Montante (m):",""))))</f>
        <v>Quantidade de Inversores:</v>
      </c>
      <c r="P121" s="127"/>
      <c r="Q121" s="128"/>
      <c r="R121" s="128"/>
      <c r="S121" s="128"/>
      <c r="T121" s="128"/>
      <c r="U121" s="128"/>
      <c r="V121" s="12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W121" s="7"/>
    </row>
    <row r="122" spans="2:49" ht="3" customHeight="1" thickBot="1" x14ac:dyDescent="0.3">
      <c r="B122" s="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W122" s="7"/>
    </row>
    <row r="123" spans="2:49" ht="15" customHeight="1" x14ac:dyDescent="0.25">
      <c r="B123" s="9" t="str">
        <f>IF(TipoFonte="Solar","Modelo dos Inversores:",IF(TipoFonte="Hidráulica","Sub-bacia:",""))</f>
        <v>Modelo dos Inversores:</v>
      </c>
      <c r="P123" s="147"/>
      <c r="Q123" s="148"/>
      <c r="R123" s="148"/>
      <c r="S123" s="148"/>
      <c r="T123" s="148"/>
      <c r="U123" s="148"/>
      <c r="V123" s="148"/>
      <c r="W123" s="148"/>
      <c r="X123" s="148"/>
      <c r="Y123" s="148"/>
      <c r="Z123" s="148"/>
      <c r="AA123" s="148"/>
      <c r="AB123" s="148"/>
      <c r="AC123" s="148"/>
      <c r="AD123" s="148"/>
      <c r="AE123" s="148"/>
      <c r="AF123" s="148"/>
      <c r="AG123" s="148"/>
      <c r="AH123" s="148"/>
      <c r="AI123" s="148"/>
      <c r="AJ123" s="148"/>
      <c r="AK123" s="148"/>
      <c r="AL123" s="148"/>
      <c r="AM123" s="148"/>
      <c r="AN123" s="148"/>
      <c r="AO123" s="148"/>
      <c r="AP123" s="148"/>
      <c r="AQ123" s="148"/>
      <c r="AR123" s="148"/>
      <c r="AS123" s="148"/>
      <c r="AT123" s="148"/>
      <c r="AU123" s="149"/>
      <c r="AW123" s="7"/>
    </row>
    <row r="124" spans="2:49" ht="3" customHeight="1" thickBot="1" x14ac:dyDescent="0.3">
      <c r="B124" s="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c r="AQ124" s="69"/>
      <c r="AR124" s="69"/>
      <c r="AS124" s="69"/>
      <c r="AT124" s="69"/>
      <c r="AU124" s="69"/>
      <c r="AW124" s="7"/>
    </row>
    <row r="125" spans="2:49" ht="15" customHeight="1" x14ac:dyDescent="0.25">
      <c r="B125" s="9" t="str">
        <f>IF(TipoFonte="Solar","Fabricante dos Inversores:","")</f>
        <v>Fabricante dos Inversores:</v>
      </c>
      <c r="P125" s="147"/>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c r="AR125" s="148"/>
      <c r="AS125" s="148"/>
      <c r="AT125" s="148"/>
      <c r="AU125" s="149"/>
      <c r="AW125" s="7"/>
    </row>
    <row r="126" spans="2:49" ht="3.95" customHeight="1" x14ac:dyDescent="0.25">
      <c r="B126" s="190"/>
      <c r="C126" s="161"/>
      <c r="D126" s="161"/>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1"/>
      <c r="AA126" s="161"/>
      <c r="AB126" s="161"/>
      <c r="AC126" s="161"/>
      <c r="AD126" s="161"/>
      <c r="AE126" s="161"/>
      <c r="AF126" s="161"/>
      <c r="AG126" s="161"/>
      <c r="AH126" s="161"/>
      <c r="AI126" s="161"/>
      <c r="AJ126" s="161"/>
      <c r="AK126" s="161"/>
      <c r="AL126" s="161"/>
      <c r="AM126" s="161"/>
      <c r="AN126" s="161"/>
      <c r="AO126" s="161"/>
      <c r="AP126" s="161"/>
      <c r="AQ126" s="161"/>
      <c r="AR126" s="161"/>
      <c r="AS126" s="161"/>
      <c r="AT126" s="161"/>
      <c r="AU126" s="161"/>
      <c r="AV126" s="161"/>
      <c r="AW126" s="191"/>
    </row>
    <row r="127" spans="2:49" ht="3.95" customHeight="1" x14ac:dyDescent="0.25">
      <c r="B127" s="152"/>
      <c r="C127" s="153"/>
      <c r="D127" s="153"/>
      <c r="E127" s="153"/>
      <c r="F127" s="153"/>
      <c r="G127" s="153"/>
      <c r="H127" s="153"/>
      <c r="I127" s="153"/>
      <c r="J127" s="153"/>
      <c r="K127" s="153"/>
      <c r="L127" s="153"/>
      <c r="M127" s="153"/>
      <c r="N127" s="153"/>
      <c r="O127" s="153"/>
      <c r="P127" s="153"/>
      <c r="Q127" s="153"/>
      <c r="R127" s="153"/>
      <c r="S127" s="153"/>
      <c r="T127" s="153"/>
      <c r="U127" s="153"/>
      <c r="V127" s="153"/>
      <c r="W127" s="153"/>
      <c r="X127" s="153"/>
      <c r="Y127" s="153"/>
      <c r="Z127" s="153"/>
      <c r="AA127" s="153"/>
      <c r="AB127" s="153"/>
      <c r="AC127" s="153"/>
      <c r="AD127" s="153"/>
      <c r="AE127" s="153"/>
      <c r="AF127" s="153"/>
      <c r="AG127" s="153"/>
      <c r="AH127" s="153"/>
      <c r="AI127" s="153"/>
      <c r="AJ127" s="153"/>
      <c r="AK127" s="153"/>
      <c r="AL127" s="153"/>
      <c r="AM127" s="153"/>
      <c r="AN127" s="153"/>
      <c r="AO127" s="153"/>
      <c r="AP127" s="153"/>
      <c r="AQ127" s="153"/>
      <c r="AR127" s="153"/>
      <c r="AS127" s="153"/>
      <c r="AT127" s="153"/>
      <c r="AU127" s="153"/>
      <c r="AV127" s="153"/>
      <c r="AW127" s="154"/>
    </row>
    <row r="128" spans="2:49" x14ac:dyDescent="0.25">
      <c r="B128" s="16" t="s">
        <v>11</v>
      </c>
      <c r="AW128" s="7"/>
    </row>
    <row r="129" spans="2:49" ht="3" customHeight="1" thickBot="1" x14ac:dyDescent="0.3">
      <c r="B129" s="9"/>
      <c r="AW129" s="7"/>
    </row>
    <row r="130" spans="2:49" x14ac:dyDescent="0.25">
      <c r="B130" s="9" t="s">
        <v>23</v>
      </c>
      <c r="K130" s="136"/>
      <c r="L130" s="137"/>
      <c r="M130" s="137"/>
      <c r="N130" s="137"/>
      <c r="O130" s="137"/>
      <c r="P130" s="137"/>
      <c r="Q130" s="137"/>
      <c r="R130" s="138"/>
      <c r="Y130" s="150" t="s">
        <v>25</v>
      </c>
      <c r="Z130" s="150"/>
      <c r="AA130" s="150"/>
      <c r="AB130" s="150"/>
      <c r="AC130" s="150"/>
      <c r="AD130" s="150"/>
      <c r="AE130" s="150"/>
      <c r="AF130" s="150"/>
      <c r="AG130" s="150"/>
      <c r="AH130" s="150"/>
      <c r="AI130" s="150"/>
      <c r="AJ130" s="150"/>
      <c r="AK130" s="151"/>
      <c r="AL130" s="136"/>
      <c r="AM130" s="137"/>
      <c r="AN130" s="137"/>
      <c r="AO130" s="137"/>
      <c r="AP130" s="137"/>
      <c r="AQ130" s="137"/>
      <c r="AR130" s="137"/>
      <c r="AS130" s="138"/>
      <c r="AW130" s="7"/>
    </row>
    <row r="131" spans="2:49" ht="3" customHeight="1" thickBot="1" x14ac:dyDescent="0.3">
      <c r="B131" s="9"/>
      <c r="AW131" s="7"/>
    </row>
    <row r="132" spans="2:49" x14ac:dyDescent="0.25">
      <c r="B132" s="9" t="s">
        <v>24</v>
      </c>
      <c r="H132" s="124"/>
      <c r="I132" s="141"/>
      <c r="J132" s="141"/>
      <c r="K132" s="141"/>
      <c r="L132" s="141"/>
      <c r="M132" s="141"/>
      <c r="N132" s="141"/>
      <c r="O132" s="141"/>
      <c r="P132" s="141"/>
      <c r="Q132" s="141"/>
      <c r="R132" s="125"/>
      <c r="Y132" t="s">
        <v>26</v>
      </c>
      <c r="AL132" s="139"/>
      <c r="AM132" s="140"/>
      <c r="AW132" s="7"/>
    </row>
    <row r="133" spans="2:49" ht="3" customHeight="1" thickBot="1" x14ac:dyDescent="0.3">
      <c r="B133" s="9"/>
      <c r="AW133" s="7"/>
    </row>
    <row r="134" spans="2:49" x14ac:dyDescent="0.25">
      <c r="B134" s="9" t="s">
        <v>27</v>
      </c>
      <c r="N134" s="124"/>
      <c r="O134" s="141"/>
      <c r="P134" s="141"/>
      <c r="Q134" s="141"/>
      <c r="R134" s="125"/>
      <c r="AW134" s="7"/>
    </row>
    <row r="135" spans="2:49" x14ac:dyDescent="0.25">
      <c r="B135" s="9"/>
      <c r="N135" s="101"/>
      <c r="O135" s="101"/>
      <c r="P135" s="101"/>
      <c r="Q135" s="101"/>
      <c r="R135" s="101"/>
      <c r="AW135" s="7"/>
    </row>
    <row r="136" spans="2:49" ht="3" customHeight="1" x14ac:dyDescent="0.25">
      <c r="B136" s="10"/>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1"/>
    </row>
    <row r="137" spans="2:49" ht="3" customHeight="1" x14ac:dyDescent="0.25"/>
    <row r="138" spans="2:49" ht="15" customHeight="1" x14ac:dyDescent="0.25">
      <c r="B138" s="130" t="s">
        <v>446</v>
      </c>
      <c r="C138" s="131"/>
      <c r="D138" s="131"/>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2"/>
    </row>
    <row r="139" spans="2:49" ht="3" customHeight="1" thickBot="1" x14ac:dyDescent="0.3">
      <c r="B139" s="152"/>
      <c r="C139" s="153"/>
      <c r="D139" s="153"/>
      <c r="E139" s="153"/>
      <c r="F139" s="153"/>
      <c r="G139" s="153"/>
      <c r="H139" s="153"/>
      <c r="I139" s="153"/>
      <c r="J139" s="153"/>
      <c r="K139" s="153"/>
      <c r="L139" s="153"/>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4"/>
    </row>
    <row r="140" spans="2:49" ht="15" customHeight="1" thickBot="1" x14ac:dyDescent="0.3">
      <c r="B140" s="9" t="s">
        <v>471</v>
      </c>
      <c r="L140" s="261"/>
      <c r="M140" s="262"/>
      <c r="N140" s="262"/>
      <c r="O140" s="262"/>
      <c r="P140" s="262"/>
      <c r="Q140" s="262"/>
      <c r="R140" s="262"/>
      <c r="S140" s="263"/>
      <c r="T140" s="264"/>
      <c r="U140" s="264"/>
      <c r="V140" s="264"/>
      <c r="W140" s="264"/>
      <c r="X140" s="264"/>
      <c r="Y140" s="264"/>
      <c r="Z140" s="265"/>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00"/>
    </row>
    <row r="141" spans="2:49" ht="3" customHeight="1" thickBot="1" x14ac:dyDescent="0.3">
      <c r="B141" s="99"/>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00"/>
    </row>
    <row r="142" spans="2:49" ht="15" customHeight="1" x14ac:dyDescent="0.25">
      <c r="B142" s="9" t="s">
        <v>478</v>
      </c>
      <c r="H142" s="124" t="s">
        <v>475</v>
      </c>
      <c r="I142" s="141"/>
      <c r="J142" s="141"/>
      <c r="K142" s="141"/>
      <c r="L142" s="141"/>
      <c r="M142" s="141"/>
      <c r="N142" s="141"/>
      <c r="O142" s="141"/>
      <c r="P142" s="141"/>
      <c r="Q142" s="141"/>
      <c r="R142" s="141"/>
      <c r="S142" s="141"/>
      <c r="T142" s="141"/>
      <c r="U142" s="141"/>
      <c r="V142" s="141"/>
      <c r="W142" s="141"/>
      <c r="X142" s="141"/>
      <c r="Y142" s="141"/>
      <c r="Z142" s="125"/>
      <c r="AB142" s="124"/>
      <c r="AC142" s="141"/>
      <c r="AD142" s="141"/>
      <c r="AE142" s="141"/>
      <c r="AF142" s="141"/>
      <c r="AG142" s="141"/>
      <c r="AH142" s="141"/>
      <c r="AI142" s="141"/>
      <c r="AJ142" s="141"/>
      <c r="AK142" s="141"/>
      <c r="AL142" s="141"/>
      <c r="AM142" s="141"/>
      <c r="AN142" s="141"/>
      <c r="AO142" s="141"/>
      <c r="AP142" s="141"/>
      <c r="AQ142" s="141"/>
      <c r="AR142" s="141"/>
      <c r="AS142" s="141"/>
      <c r="AT142" s="125"/>
      <c r="AW142" s="100"/>
    </row>
    <row r="143" spans="2:49" ht="3" customHeight="1" x14ac:dyDescent="0.25">
      <c r="B143" s="99"/>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00"/>
    </row>
    <row r="144" spans="2:49" ht="28.5" customHeight="1" x14ac:dyDescent="0.25">
      <c r="B144" s="234" t="str">
        <f>IF(TipoFonte2="Solar","Preencher o quadro abaixo para projeto de CENTRAL GERADORA FOTOVOLTAICA.",IF(TipoFonte2="Hidráulica","Preencher o quadro abaixo para projeto de CENTRAL GERADORA HIDRELÉTRICA - CGH. Preencher também a seção de Segurança das Barragens conforme a Lei 12.334/2010",IF(OR(TipoFonte2="Cogeração Qualificada",TipoFonte2="Biomassa")," Preencher o quadro abaixo para projeto de CENTRAL GERADORA TÉRMICA.",IF(TipoFonte2="Eólica"," Preencher o quadro abaixo para projeto de CENTRAL GERADORA EÓLICA.",""))))</f>
        <v/>
      </c>
      <c r="C144" s="235"/>
      <c r="D144" s="235"/>
      <c r="E144" s="235"/>
      <c r="F144" s="235"/>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7"/>
    </row>
    <row r="145" spans="2:49" ht="3" customHeight="1" x14ac:dyDescent="0.25">
      <c r="B145" s="35"/>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7"/>
    </row>
    <row r="146" spans="2:49" ht="3" customHeight="1" x14ac:dyDescent="0.25">
      <c r="B146" s="9"/>
      <c r="AW146" s="7"/>
    </row>
    <row r="147" spans="2:49" ht="15" customHeight="1" x14ac:dyDescent="0.25">
      <c r="B147" s="9"/>
      <c r="C147" s="242" t="str">
        <f>IF(Dados!D43=3," Os dados abaixo deverão ser preenchidos considerando a condição final da usina (potência atual + potência acrescida)","")</f>
        <v/>
      </c>
      <c r="D147" s="242"/>
      <c r="E147" s="242"/>
      <c r="F147" s="242"/>
      <c r="G147" s="242"/>
      <c r="H147" s="242"/>
      <c r="I147" s="242"/>
      <c r="J147" s="242"/>
      <c r="K147" s="242"/>
      <c r="L147" s="242"/>
      <c r="M147" s="242"/>
      <c r="N147" s="242"/>
      <c r="O147" s="242"/>
      <c r="P147" s="242"/>
      <c r="Q147" s="242"/>
      <c r="R147" s="242"/>
      <c r="S147" s="242"/>
      <c r="T147" s="242"/>
      <c r="U147" s="242"/>
      <c r="V147" s="242"/>
      <c r="W147" s="242"/>
      <c r="X147" s="242"/>
      <c r="Y147" s="242"/>
      <c r="Z147" s="242"/>
      <c r="AA147" s="242"/>
      <c r="AB147" s="242"/>
      <c r="AC147" s="242"/>
      <c r="AD147" s="242"/>
      <c r="AE147" s="242"/>
      <c r="AF147" s="242"/>
      <c r="AG147" s="242"/>
      <c r="AH147" s="242"/>
      <c r="AI147" s="242"/>
      <c r="AJ147" s="242"/>
      <c r="AK147" s="242"/>
      <c r="AL147" s="242"/>
      <c r="AM147" s="242"/>
      <c r="AN147" s="242"/>
      <c r="AO147" s="242"/>
      <c r="AP147" s="242"/>
      <c r="AQ147" s="242"/>
      <c r="AR147" s="242"/>
      <c r="AS147" s="242"/>
      <c r="AT147" s="242"/>
      <c r="AU147" s="242"/>
      <c r="AW147" s="7"/>
    </row>
    <row r="148" spans="2:49" ht="3" customHeight="1" thickBot="1" x14ac:dyDescent="0.3">
      <c r="B148" s="9"/>
      <c r="AW148" s="7"/>
    </row>
    <row r="149" spans="2:49" ht="15" customHeight="1" x14ac:dyDescent="0.25">
      <c r="B149" s="9" t="str">
        <f>IF(TipoFonte2="Solar","Potência Total Módulos (kW):",IF(OR(TipoFonte2="Hidráulica",TipoFonte2="Biomassa",TipoFonte2="Cogeração Qualificada"),"Potência Aparente (kVA):",IF(TipoFonte2="Eólica","Quantidade de Aerogeradores:","")))</f>
        <v/>
      </c>
      <c r="P149" s="243"/>
      <c r="Q149" s="244"/>
      <c r="R149" s="244"/>
      <c r="S149" s="244"/>
      <c r="T149" s="244"/>
      <c r="U149" s="244"/>
      <c r="V149" s="245"/>
      <c r="W149" s="69"/>
      <c r="X149" s="69"/>
      <c r="Y149" s="69"/>
      <c r="Z149" s="69"/>
      <c r="AA149" s="69"/>
      <c r="AB149" s="69"/>
      <c r="AC149" s="69"/>
      <c r="AD149" s="69"/>
      <c r="AE149" s="69"/>
      <c r="AF149" s="69"/>
      <c r="AG149" s="69"/>
      <c r="AH149" s="69"/>
      <c r="AI149" s="69"/>
      <c r="AJ149" s="69"/>
      <c r="AK149" s="69"/>
      <c r="AL149" s="69"/>
      <c r="AM149" s="69"/>
      <c r="AN149" s="69"/>
      <c r="AO149" s="69"/>
      <c r="AP149" s="69"/>
      <c r="AQ149" s="69"/>
      <c r="AR149" s="69"/>
      <c r="AS149" s="69"/>
      <c r="AT149" s="69"/>
      <c r="AU149" s="69"/>
      <c r="AW149" s="7"/>
    </row>
    <row r="150" spans="2:49" ht="3" customHeight="1" thickBot="1" x14ac:dyDescent="0.3">
      <c r="B150" s="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c r="AN150" s="69"/>
      <c r="AO150" s="69"/>
      <c r="AP150" s="69"/>
      <c r="AQ150" s="69"/>
      <c r="AR150" s="69"/>
      <c r="AS150" s="69"/>
      <c r="AT150" s="69"/>
      <c r="AU150" s="69"/>
      <c r="AW150" s="7"/>
    </row>
    <row r="151" spans="2:49" ht="15" customHeight="1" x14ac:dyDescent="0.25">
      <c r="B151" s="9" t="str">
        <f>IF(TipoFonte2="Solar","Potência Total Inversores (kW):",IF(OR(TipoFonte2="Hidráulica",TipoFonte2="Biomassa",TipoFonte2="Eólica",TipoFonte2="Cogeração Qualificada"),"Potência Instalada (kW):",""))</f>
        <v/>
      </c>
      <c r="P151" s="127"/>
      <c r="Q151" s="128"/>
      <c r="R151" s="128"/>
      <c r="S151" s="128"/>
      <c r="T151" s="128"/>
      <c r="U151" s="128"/>
      <c r="V151" s="12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W151" s="7"/>
    </row>
    <row r="152" spans="2:49" ht="3" customHeight="1" thickBot="1" x14ac:dyDescent="0.3">
      <c r="B152" s="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69"/>
      <c r="AP152" s="69"/>
      <c r="AQ152" s="69"/>
      <c r="AR152" s="69"/>
      <c r="AS152" s="69"/>
      <c r="AT152" s="69"/>
      <c r="AU152" s="69"/>
      <c r="AW152" s="7"/>
    </row>
    <row r="153" spans="2:49" ht="15" customHeight="1" x14ac:dyDescent="0.25">
      <c r="B153" s="9" t="str">
        <f>IF(TipoFonte2="Solar","Área dos Arranjos (m²):",IF(OR(TipoFonte2="Hidráulica",TipoFonte2="Biomassa",TipoFonte2="Eólica",TipoFonte2="Cogeração Qualificada"),"Fator de Potência:",""))</f>
        <v/>
      </c>
      <c r="P153" s="127"/>
      <c r="Q153" s="128"/>
      <c r="R153" s="128"/>
      <c r="S153" s="128"/>
      <c r="T153" s="128"/>
      <c r="U153" s="128"/>
      <c r="V153" s="12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W153" s="7"/>
    </row>
    <row r="154" spans="2:49" ht="3" customHeight="1" thickBot="1" x14ac:dyDescent="0.3">
      <c r="B154" s="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c r="AN154" s="69"/>
      <c r="AO154" s="69"/>
      <c r="AP154" s="69"/>
      <c r="AQ154" s="69"/>
      <c r="AR154" s="69"/>
      <c r="AS154" s="69"/>
      <c r="AT154" s="69"/>
      <c r="AU154" s="69"/>
      <c r="AW154" s="7"/>
    </row>
    <row r="155" spans="2:49" ht="15" customHeight="1" x14ac:dyDescent="0.25">
      <c r="B155" s="9" t="str">
        <f>IF(TipoFonte2="Solar","Quantidade de Módulos:",IF(TipoFonte2="Hidráulica","Tensão (kV):",IF(OR(TipoFonte2="Cogeração Qualificada",TipoFonte2="Biomassa"),"Combustível:",IF(TipoFonte2="Eólica","Fabricante dos Aerogeradores:",""))))</f>
        <v/>
      </c>
      <c r="P155" s="144"/>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6"/>
      <c r="AW155" s="7"/>
    </row>
    <row r="156" spans="2:49" ht="3" customHeight="1" thickBot="1" x14ac:dyDescent="0.3">
      <c r="B156" s="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69"/>
      <c r="AN156" s="69"/>
      <c r="AO156" s="69"/>
      <c r="AP156" s="69"/>
      <c r="AQ156" s="69"/>
      <c r="AR156" s="69"/>
      <c r="AS156" s="69"/>
      <c r="AT156" s="69"/>
      <c r="AU156" s="69"/>
      <c r="AW156" s="7"/>
    </row>
    <row r="157" spans="2:49" ht="15" customHeight="1" x14ac:dyDescent="0.25">
      <c r="B157" s="9" t="str">
        <f>IF(TipoFonte2="Solar","Modelo dos Módulos:",IF(OR(TipoFonte2="Cogeração Qualificada",TipoFonte2="Biomassa"),"Máquina Motriz (Motor/Turbina):",IF(TipoFonte2="Eólica","Altura da pá (m):",IF(TipoFonte2="Hidráulica","Nome do rio:",""))))</f>
        <v/>
      </c>
      <c r="P157" s="147"/>
      <c r="Q157" s="148"/>
      <c r="R157" s="148"/>
      <c r="S157" s="148"/>
      <c r="T157" s="148"/>
      <c r="U157" s="148"/>
      <c r="V157" s="148"/>
      <c r="W157" s="148"/>
      <c r="X157" s="148"/>
      <c r="Y157" s="148"/>
      <c r="Z157" s="148"/>
      <c r="AA157" s="148"/>
      <c r="AB157" s="148"/>
      <c r="AC157" s="148"/>
      <c r="AD157" s="148"/>
      <c r="AE157" s="148"/>
      <c r="AF157" s="148"/>
      <c r="AG157" s="148"/>
      <c r="AH157" s="148"/>
      <c r="AI157" s="148"/>
      <c r="AJ157" s="148"/>
      <c r="AK157" s="148"/>
      <c r="AL157" s="148"/>
      <c r="AM157" s="148"/>
      <c r="AN157" s="148"/>
      <c r="AO157" s="148"/>
      <c r="AP157" s="148"/>
      <c r="AQ157" s="148"/>
      <c r="AR157" s="148"/>
      <c r="AS157" s="148"/>
      <c r="AT157" s="148"/>
      <c r="AU157" s="149"/>
      <c r="AW157" s="7"/>
    </row>
    <row r="158" spans="2:49" ht="3" customHeight="1" thickBot="1" x14ac:dyDescent="0.3">
      <c r="B158" s="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c r="AN158" s="69"/>
      <c r="AO158" s="69"/>
      <c r="AP158" s="69"/>
      <c r="AQ158" s="69"/>
      <c r="AR158" s="69"/>
      <c r="AS158" s="69"/>
      <c r="AT158" s="69"/>
      <c r="AU158" s="69"/>
      <c r="AW158" s="7"/>
    </row>
    <row r="159" spans="2:49" ht="15" customHeight="1" x14ac:dyDescent="0.25">
      <c r="B159" s="9" t="str">
        <f>IF(TipoFonte2="Solar","Fabricante dos Módulos:",IF(TipoFonte2="Hidráulica","Nível Oper. Normal de Jusante (m):",IF(OR(TipoFonte2="Cogeração Qualificada",TipoFonte2="Biomassa"),"Ciclo Termodinâmico (Aberto/Fechado):",IF(TipoFonte2="Eólica","Eixo do rotor:",""))))</f>
        <v/>
      </c>
      <c r="P159" s="147"/>
      <c r="Q159" s="148"/>
      <c r="R159" s="148"/>
      <c r="S159" s="148"/>
      <c r="T159" s="148"/>
      <c r="U159" s="148"/>
      <c r="V159" s="148"/>
      <c r="W159" s="148"/>
      <c r="X159" s="148"/>
      <c r="Y159" s="148"/>
      <c r="Z159" s="148"/>
      <c r="AA159" s="148"/>
      <c r="AB159" s="148"/>
      <c r="AC159" s="148"/>
      <c r="AD159" s="148"/>
      <c r="AE159" s="148"/>
      <c r="AF159" s="148"/>
      <c r="AG159" s="148"/>
      <c r="AH159" s="148"/>
      <c r="AI159" s="148"/>
      <c r="AJ159" s="148"/>
      <c r="AK159" s="148"/>
      <c r="AL159" s="148"/>
      <c r="AM159" s="148"/>
      <c r="AN159" s="148"/>
      <c r="AO159" s="148"/>
      <c r="AP159" s="148"/>
      <c r="AQ159" s="148"/>
      <c r="AR159" s="148"/>
      <c r="AS159" s="148"/>
      <c r="AT159" s="148"/>
      <c r="AU159" s="149"/>
      <c r="AW159" s="7"/>
    </row>
    <row r="160" spans="2:49" ht="3" customHeight="1" thickBot="1" x14ac:dyDescent="0.3">
      <c r="B160" s="9"/>
      <c r="P160" s="70"/>
      <c r="Q160" s="70"/>
      <c r="R160" s="70"/>
      <c r="S160" s="70"/>
      <c r="T160" s="69"/>
      <c r="U160" s="69"/>
      <c r="V160" s="69"/>
      <c r="W160" s="69"/>
      <c r="X160" s="69"/>
      <c r="Y160" s="69"/>
      <c r="Z160" s="69"/>
      <c r="AA160" s="69"/>
      <c r="AB160" s="69"/>
      <c r="AC160" s="69"/>
      <c r="AD160" s="69"/>
      <c r="AE160" s="69"/>
      <c r="AF160" s="69"/>
      <c r="AG160" s="69"/>
      <c r="AH160" s="69"/>
      <c r="AI160" s="69"/>
      <c r="AJ160" s="69"/>
      <c r="AK160" s="69"/>
      <c r="AL160" s="69"/>
      <c r="AM160" s="69"/>
      <c r="AN160" s="69"/>
      <c r="AO160" s="69"/>
      <c r="AP160" s="69"/>
      <c r="AQ160" s="69"/>
      <c r="AR160" s="69"/>
      <c r="AS160" s="69"/>
      <c r="AT160" s="69"/>
      <c r="AU160" s="69"/>
      <c r="AW160" s="7"/>
    </row>
    <row r="161" spans="2:49" ht="15" customHeight="1" x14ac:dyDescent="0.25">
      <c r="B161" s="9" t="str">
        <f>IF(TipoFonte2="Solar","Quantidade de Inversores:",IF(OR(TipoFonte2="Cogeração Qualificada",TipoFonte2="Biomassa"),"Nº do Despacho de qualificação:",IF(TipoFonte2="Eólica","Modelo dos Aerogeradores:",IF(TipoFonte2="Hidráulica","Nível Opera. Normal de Montante (m):",""))))</f>
        <v/>
      </c>
      <c r="P161" s="127"/>
      <c r="Q161" s="128"/>
      <c r="R161" s="128"/>
      <c r="S161" s="128"/>
      <c r="T161" s="128"/>
      <c r="U161" s="128"/>
      <c r="V161" s="129"/>
      <c r="W161" s="69"/>
      <c r="X161" s="69"/>
      <c r="Y161" s="69"/>
      <c r="Z161" s="69"/>
      <c r="AA161" s="69"/>
      <c r="AB161" s="69"/>
      <c r="AC161" s="69"/>
      <c r="AD161" s="69"/>
      <c r="AE161" s="69"/>
      <c r="AF161" s="69"/>
      <c r="AG161" s="69"/>
      <c r="AH161" s="69"/>
      <c r="AI161" s="69"/>
      <c r="AJ161" s="69"/>
      <c r="AK161" s="69"/>
      <c r="AL161" s="69"/>
      <c r="AM161" s="69"/>
      <c r="AN161" s="69"/>
      <c r="AO161" s="69"/>
      <c r="AP161" s="69"/>
      <c r="AQ161" s="69"/>
      <c r="AR161" s="69"/>
      <c r="AS161" s="69"/>
      <c r="AT161" s="69"/>
      <c r="AU161" s="69"/>
      <c r="AW161" s="7"/>
    </row>
    <row r="162" spans="2:49" ht="3" customHeight="1" thickBot="1" x14ac:dyDescent="0.3">
      <c r="B162" s="9"/>
      <c r="P162" s="69"/>
      <c r="Q162" s="69"/>
      <c r="R162" s="69"/>
      <c r="S162" s="69"/>
      <c r="T162" s="69"/>
      <c r="U162" s="69"/>
      <c r="V162" s="69"/>
      <c r="W162" s="69"/>
      <c r="X162" s="69"/>
      <c r="Y162" s="69"/>
      <c r="Z162" s="69"/>
      <c r="AA162" s="69"/>
      <c r="AB162" s="69"/>
      <c r="AC162" s="69"/>
      <c r="AD162" s="69"/>
      <c r="AE162" s="69"/>
      <c r="AF162" s="69"/>
      <c r="AG162" s="69"/>
      <c r="AH162" s="69"/>
      <c r="AI162" s="69"/>
      <c r="AJ162" s="69"/>
      <c r="AK162" s="69"/>
      <c r="AL162" s="69"/>
      <c r="AM162" s="69"/>
      <c r="AN162" s="69"/>
      <c r="AO162" s="69"/>
      <c r="AP162" s="69"/>
      <c r="AQ162" s="69"/>
      <c r="AR162" s="69"/>
      <c r="AS162" s="69"/>
      <c r="AT162" s="69"/>
      <c r="AU162" s="69"/>
      <c r="AW162" s="7"/>
    </row>
    <row r="163" spans="2:49" ht="15" customHeight="1" x14ac:dyDescent="0.25">
      <c r="B163" s="9" t="str">
        <f>IF(TipoFonte2="Solar","Modelo dos Inversores:",IF(TipoFonte2="Hidráulica","Sub-bacia:",""))</f>
        <v/>
      </c>
      <c r="P163" s="147"/>
      <c r="Q163" s="148"/>
      <c r="R163" s="148"/>
      <c r="S163" s="148"/>
      <c r="T163" s="148"/>
      <c r="U163" s="148"/>
      <c r="V163" s="148"/>
      <c r="W163" s="148"/>
      <c r="X163" s="148"/>
      <c r="Y163" s="148"/>
      <c r="Z163" s="148"/>
      <c r="AA163" s="148"/>
      <c r="AB163" s="148"/>
      <c r="AC163" s="148"/>
      <c r="AD163" s="148"/>
      <c r="AE163" s="148"/>
      <c r="AF163" s="148"/>
      <c r="AG163" s="148"/>
      <c r="AH163" s="148"/>
      <c r="AI163" s="148"/>
      <c r="AJ163" s="148"/>
      <c r="AK163" s="148"/>
      <c r="AL163" s="148"/>
      <c r="AM163" s="148"/>
      <c r="AN163" s="148"/>
      <c r="AO163" s="148"/>
      <c r="AP163" s="148"/>
      <c r="AQ163" s="148"/>
      <c r="AR163" s="148"/>
      <c r="AS163" s="148"/>
      <c r="AT163" s="148"/>
      <c r="AU163" s="149"/>
      <c r="AW163" s="7"/>
    </row>
    <row r="164" spans="2:49" ht="3" customHeight="1" thickBot="1" x14ac:dyDescent="0.3">
      <c r="B164" s="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W164" s="7"/>
    </row>
    <row r="165" spans="2:49" ht="15" customHeight="1" x14ac:dyDescent="0.25">
      <c r="B165" s="9" t="str">
        <f>IF(TipoFonte2="Solar","Fabricante dos Inversores:","")</f>
        <v/>
      </c>
      <c r="P165" s="147"/>
      <c r="Q165" s="148"/>
      <c r="R165" s="148"/>
      <c r="S165" s="148"/>
      <c r="T165" s="148"/>
      <c r="U165" s="148"/>
      <c r="V165" s="148"/>
      <c r="W165" s="148"/>
      <c r="X165" s="148"/>
      <c r="Y165" s="148"/>
      <c r="Z165" s="148"/>
      <c r="AA165" s="148"/>
      <c r="AB165" s="148"/>
      <c r="AC165" s="148"/>
      <c r="AD165" s="148"/>
      <c r="AE165" s="148"/>
      <c r="AF165" s="148"/>
      <c r="AG165" s="148"/>
      <c r="AH165" s="148"/>
      <c r="AI165" s="148"/>
      <c r="AJ165" s="148"/>
      <c r="AK165" s="148"/>
      <c r="AL165" s="148"/>
      <c r="AM165" s="148"/>
      <c r="AN165" s="148"/>
      <c r="AO165" s="148"/>
      <c r="AP165" s="148"/>
      <c r="AQ165" s="148"/>
      <c r="AR165" s="148"/>
      <c r="AS165" s="148"/>
      <c r="AT165" s="148"/>
      <c r="AU165" s="149"/>
      <c r="AW165" s="7"/>
    </row>
    <row r="166" spans="2:49" ht="3" customHeight="1" x14ac:dyDescent="0.25">
      <c r="B166" s="190"/>
      <c r="C166" s="161"/>
      <c r="D166" s="161"/>
      <c r="E166" s="161"/>
      <c r="F166" s="161"/>
      <c r="G166" s="161"/>
      <c r="H166" s="161"/>
      <c r="I166" s="161"/>
      <c r="J166" s="161"/>
      <c r="K166" s="161"/>
      <c r="L166" s="161"/>
      <c r="M166" s="161"/>
      <c r="N166" s="161"/>
      <c r="O166" s="161"/>
      <c r="P166" s="161"/>
      <c r="Q166" s="161"/>
      <c r="R166" s="161"/>
      <c r="S166" s="161"/>
      <c r="T166" s="161"/>
      <c r="U166" s="161"/>
      <c r="V166" s="161"/>
      <c r="W166" s="161"/>
      <c r="X166" s="161"/>
      <c r="Y166" s="161"/>
      <c r="Z166" s="161"/>
      <c r="AA166" s="161"/>
      <c r="AB166" s="161"/>
      <c r="AC166" s="161"/>
      <c r="AD166" s="161"/>
      <c r="AE166" s="161"/>
      <c r="AF166" s="161"/>
      <c r="AG166" s="161"/>
      <c r="AH166" s="161"/>
      <c r="AI166" s="161"/>
      <c r="AJ166" s="161"/>
      <c r="AK166" s="161"/>
      <c r="AL166" s="161"/>
      <c r="AM166" s="161"/>
      <c r="AN166" s="161"/>
      <c r="AO166" s="161"/>
      <c r="AP166" s="161"/>
      <c r="AQ166" s="161"/>
      <c r="AR166" s="161"/>
      <c r="AS166" s="161"/>
      <c r="AT166" s="161"/>
      <c r="AU166" s="161"/>
      <c r="AV166" s="161"/>
      <c r="AW166" s="191"/>
    </row>
    <row r="167" spans="2:49" ht="3" customHeight="1" x14ac:dyDescent="0.25">
      <c r="B167" s="152"/>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c r="AD167" s="153"/>
      <c r="AE167" s="153"/>
      <c r="AF167" s="153"/>
      <c r="AG167" s="153"/>
      <c r="AH167" s="153"/>
      <c r="AI167" s="153"/>
      <c r="AJ167" s="153"/>
      <c r="AK167" s="153"/>
      <c r="AL167" s="153"/>
      <c r="AM167" s="153"/>
      <c r="AN167" s="153"/>
      <c r="AO167" s="153"/>
      <c r="AP167" s="153"/>
      <c r="AQ167" s="153"/>
      <c r="AR167" s="153"/>
      <c r="AS167" s="153"/>
      <c r="AT167" s="153"/>
      <c r="AU167" s="153"/>
      <c r="AV167" s="153"/>
      <c r="AW167" s="154"/>
    </row>
    <row r="168" spans="2:49" ht="15" customHeight="1" x14ac:dyDescent="0.25">
      <c r="B168" s="16" t="s">
        <v>11</v>
      </c>
      <c r="AW168" s="7"/>
    </row>
    <row r="169" spans="2:49" ht="3" customHeight="1" thickBot="1" x14ac:dyDescent="0.3">
      <c r="B169" s="9"/>
      <c r="AW169" s="7"/>
    </row>
    <row r="170" spans="2:49" ht="15" customHeight="1" x14ac:dyDescent="0.25">
      <c r="B170" s="9" t="s">
        <v>23</v>
      </c>
      <c r="K170" s="136"/>
      <c r="L170" s="137"/>
      <c r="M170" s="137"/>
      <c r="N170" s="137"/>
      <c r="O170" s="137"/>
      <c r="P170" s="137"/>
      <c r="Q170" s="137"/>
      <c r="R170" s="138"/>
      <c r="Y170" s="150" t="s">
        <v>25</v>
      </c>
      <c r="Z170" s="150"/>
      <c r="AA170" s="150"/>
      <c r="AB170" s="150"/>
      <c r="AC170" s="150"/>
      <c r="AD170" s="150"/>
      <c r="AE170" s="150"/>
      <c r="AF170" s="150"/>
      <c r="AG170" s="150"/>
      <c r="AH170" s="150"/>
      <c r="AI170" s="150"/>
      <c r="AJ170" s="150"/>
      <c r="AK170" s="151"/>
      <c r="AL170" s="136"/>
      <c r="AM170" s="137"/>
      <c r="AN170" s="137"/>
      <c r="AO170" s="137"/>
      <c r="AP170" s="137"/>
      <c r="AQ170" s="137"/>
      <c r="AR170" s="137"/>
      <c r="AS170" s="138"/>
      <c r="AW170" s="7"/>
    </row>
    <row r="171" spans="2:49" ht="3" customHeight="1" thickBot="1" x14ac:dyDescent="0.3">
      <c r="B171" s="9"/>
      <c r="AW171" s="7"/>
    </row>
    <row r="172" spans="2:49" ht="15" customHeight="1" x14ac:dyDescent="0.25">
      <c r="B172" s="9" t="s">
        <v>24</v>
      </c>
      <c r="H172" s="124"/>
      <c r="I172" s="141"/>
      <c r="J172" s="141"/>
      <c r="K172" s="141"/>
      <c r="L172" s="141"/>
      <c r="M172" s="141"/>
      <c r="N172" s="141"/>
      <c r="O172" s="141"/>
      <c r="P172" s="141"/>
      <c r="Q172" s="141"/>
      <c r="R172" s="125"/>
      <c r="Y172" t="s">
        <v>26</v>
      </c>
      <c r="AL172" s="139"/>
      <c r="AM172" s="140"/>
      <c r="AW172" s="7"/>
    </row>
    <row r="173" spans="2:49" ht="3" customHeight="1" thickBot="1" x14ac:dyDescent="0.3">
      <c r="B173" s="9"/>
      <c r="AW173" s="7"/>
    </row>
    <row r="174" spans="2:49" ht="15" customHeight="1" x14ac:dyDescent="0.25">
      <c r="B174" s="9" t="s">
        <v>27</v>
      </c>
      <c r="N174" s="124"/>
      <c r="O174" s="141"/>
      <c r="P174" s="141"/>
      <c r="Q174" s="141"/>
      <c r="R174" s="125"/>
      <c r="AW174" s="7"/>
    </row>
    <row r="175" spans="2:49" ht="3" customHeight="1" x14ac:dyDescent="0.25">
      <c r="B175" s="10"/>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1"/>
    </row>
    <row r="176" spans="2:49" ht="3" customHeight="1" x14ac:dyDescent="0.25"/>
    <row r="177" spans="2:49" ht="15" customHeight="1" x14ac:dyDescent="0.25">
      <c r="B177" s="130" t="s">
        <v>456</v>
      </c>
      <c r="C177" s="131"/>
      <c r="D177" s="131"/>
      <c r="E177" s="131"/>
      <c r="F177" s="131"/>
      <c r="G177" s="131"/>
      <c r="H177" s="131"/>
      <c r="I177" s="131"/>
      <c r="J177" s="131"/>
      <c r="K177" s="131"/>
      <c r="L177" s="131"/>
      <c r="M177" s="131"/>
      <c r="N177" s="131"/>
      <c r="O177" s="131"/>
      <c r="P177" s="131"/>
      <c r="Q177" s="131"/>
      <c r="R177" s="131"/>
      <c r="S177" s="131"/>
      <c r="T177" s="131"/>
      <c r="U177" s="131"/>
      <c r="V177" s="131"/>
      <c r="W177" s="131"/>
      <c r="X177" s="131"/>
      <c r="Y177" s="131"/>
      <c r="Z177" s="131"/>
      <c r="AA177" s="131"/>
      <c r="AB177" s="131"/>
      <c r="AC177" s="131"/>
      <c r="AD177" s="131"/>
      <c r="AE177" s="131"/>
      <c r="AF177" s="131"/>
      <c r="AG177" s="131"/>
      <c r="AH177" s="131"/>
      <c r="AI177" s="131"/>
      <c r="AJ177" s="131"/>
      <c r="AK177" s="131"/>
      <c r="AL177" s="131"/>
      <c r="AM177" s="131"/>
      <c r="AN177" s="131"/>
      <c r="AO177" s="131"/>
      <c r="AP177" s="131"/>
      <c r="AQ177" s="131"/>
      <c r="AR177" s="131"/>
      <c r="AS177" s="131"/>
      <c r="AT177" s="131"/>
      <c r="AU177" s="131"/>
      <c r="AV177" s="131"/>
      <c r="AW177" s="132"/>
    </row>
    <row r="178" spans="2:49" ht="3" customHeight="1" thickBot="1" x14ac:dyDescent="0.3">
      <c r="B178" s="9"/>
      <c r="AW178" s="7"/>
    </row>
    <row r="179" spans="2:49" ht="15" customHeight="1" x14ac:dyDescent="0.25">
      <c r="B179" s="9" t="s">
        <v>391</v>
      </c>
      <c r="R179" s="124"/>
      <c r="S179" s="141"/>
      <c r="T179" s="141"/>
      <c r="U179" s="141"/>
      <c r="V179" s="125"/>
      <c r="AW179" s="7"/>
    </row>
    <row r="180" spans="2:49" ht="3" customHeight="1" thickBot="1" x14ac:dyDescent="0.3">
      <c r="B180" s="9"/>
      <c r="AW180" s="7"/>
    </row>
    <row r="181" spans="2:49" ht="15" customHeight="1" x14ac:dyDescent="0.25">
      <c r="B181" s="9" t="str">
        <f>IF(R179="Sim","Sistema com possibilidade de operação ilhada:","")</f>
        <v/>
      </c>
      <c r="R181" s="124"/>
      <c r="S181" s="141"/>
      <c r="T181" s="141"/>
      <c r="U181" s="141"/>
      <c r="V181" s="125"/>
      <c r="AW181" s="7"/>
    </row>
    <row r="182" spans="2:49" ht="3" customHeight="1" thickBot="1" x14ac:dyDescent="0.3">
      <c r="B182" s="9"/>
      <c r="AW182" s="7"/>
    </row>
    <row r="183" spans="2:49" ht="15" customHeight="1" x14ac:dyDescent="0.25">
      <c r="B183" s="9"/>
      <c r="E183" t="str">
        <f>IF(R181="Sim","Chave de desconexão física:","")</f>
        <v/>
      </c>
      <c r="O183" s="124"/>
      <c r="P183" s="141"/>
      <c r="Q183" s="141"/>
      <c r="R183" s="141"/>
      <c r="S183" s="125"/>
      <c r="AB183" t="str">
        <f>IF(R181="Sim","Reconexão automática:","")</f>
        <v/>
      </c>
      <c r="AJ183" s="124"/>
      <c r="AK183" s="141"/>
      <c r="AL183" s="141"/>
      <c r="AM183" s="141"/>
      <c r="AN183" s="125"/>
      <c r="AW183" s="7"/>
    </row>
    <row r="184" spans="2:49" ht="3" customHeight="1" thickBot="1" x14ac:dyDescent="0.3">
      <c r="B184" s="9"/>
      <c r="AW184" s="7"/>
    </row>
    <row r="185" spans="2:49" ht="15" customHeight="1" x14ac:dyDescent="0.25">
      <c r="B185" s="9" t="str">
        <f>IF(R179="Sim","Capacidade do banco de baterias (kWh):","")</f>
        <v/>
      </c>
      <c r="P185" s="136"/>
      <c r="Q185" s="137"/>
      <c r="R185" s="137"/>
      <c r="S185" s="137"/>
      <c r="T185" s="137"/>
      <c r="U185" s="137"/>
      <c r="V185" s="137"/>
      <c r="W185" s="138"/>
      <c r="AW185" s="7"/>
    </row>
    <row r="186" spans="2:49" ht="3" customHeight="1" thickBot="1" x14ac:dyDescent="0.3">
      <c r="B186" s="9"/>
      <c r="AW186" s="7"/>
    </row>
    <row r="187" spans="2:49" ht="15" customHeight="1" x14ac:dyDescent="0.25">
      <c r="B187" s="9" t="str">
        <f>IF(R179="Sim","Potência total do banco de baterias (kW):","")</f>
        <v/>
      </c>
      <c r="P187" s="136"/>
      <c r="Q187" s="137"/>
      <c r="R187" s="137"/>
      <c r="S187" s="137"/>
      <c r="T187" s="137"/>
      <c r="U187" s="137"/>
      <c r="V187" s="137"/>
      <c r="W187" s="138"/>
      <c r="AW187" s="7"/>
    </row>
    <row r="188" spans="2:49" ht="3" customHeight="1" thickBot="1" x14ac:dyDescent="0.3">
      <c r="B188" s="9"/>
      <c r="AW188" s="7"/>
    </row>
    <row r="189" spans="2:49" ht="15" customHeight="1" x14ac:dyDescent="0.25">
      <c r="B189" s="9" t="str">
        <f>IF(R179="Sim","Capacidade nominal do banco de baterias (Ah):","")</f>
        <v/>
      </c>
      <c r="R189" s="136"/>
      <c r="S189" s="137"/>
      <c r="T189" s="137"/>
      <c r="U189" s="137"/>
      <c r="V189" s="137"/>
      <c r="W189" s="137"/>
      <c r="X189" s="137"/>
      <c r="Y189" s="138"/>
      <c r="AW189" s="7"/>
    </row>
    <row r="190" spans="2:49" ht="3" customHeight="1" thickBot="1" x14ac:dyDescent="0.3">
      <c r="B190" s="9"/>
      <c r="AW190" s="7"/>
    </row>
    <row r="191" spans="2:49" ht="15" customHeight="1" x14ac:dyDescent="0.25">
      <c r="B191" s="9" t="str">
        <f>IF(R179="Sim","Tensão do banco de baterias em corrente contínua (V):","")</f>
        <v/>
      </c>
      <c r="T191" s="136"/>
      <c r="U191" s="137"/>
      <c r="V191" s="137"/>
      <c r="W191" s="137"/>
      <c r="X191" s="137"/>
      <c r="Y191" s="137"/>
      <c r="Z191" s="137"/>
      <c r="AA191" s="138"/>
      <c r="AW191" s="7"/>
    </row>
    <row r="192" spans="2:49" ht="3" customHeight="1" thickBot="1" x14ac:dyDescent="0.3">
      <c r="B192" s="9"/>
      <c r="AW192" s="7"/>
    </row>
    <row r="193" spans="2:49" ht="15" customHeight="1" x14ac:dyDescent="0.25">
      <c r="B193" s="9" t="str">
        <f>IF(R179="Sim","Profundidade de descarga do banco de baterias (%):","")</f>
        <v/>
      </c>
      <c r="T193" s="136"/>
      <c r="U193" s="137"/>
      <c r="V193" s="137"/>
      <c r="W193" s="137"/>
      <c r="X193" s="137"/>
      <c r="Y193" s="137"/>
      <c r="Z193" s="137"/>
      <c r="AA193" s="138"/>
      <c r="AW193" s="7"/>
    </row>
    <row r="194" spans="2:49" ht="3" customHeight="1" thickBot="1" x14ac:dyDescent="0.3">
      <c r="B194" s="9"/>
      <c r="AW194" s="7"/>
    </row>
    <row r="195" spans="2:49" ht="15" customHeight="1" x14ac:dyDescent="0.25">
      <c r="B195" s="9" t="str">
        <f>IF(R179="Sim","Produção mensal da central geradora distribuída (kWh):","")</f>
        <v/>
      </c>
      <c r="U195" s="136"/>
      <c r="V195" s="137"/>
      <c r="W195" s="137"/>
      <c r="X195" s="137"/>
      <c r="Y195" s="137"/>
      <c r="Z195" s="137"/>
      <c r="AA195" s="137"/>
      <c r="AB195" s="138"/>
      <c r="AW195" s="7"/>
    </row>
    <row r="196" spans="2:49" ht="3" customHeight="1" x14ac:dyDescent="0.25">
      <c r="B196" s="10"/>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1"/>
    </row>
    <row r="197" spans="2:49" ht="3" customHeight="1" x14ac:dyDescent="0.25"/>
    <row r="198" spans="2:49" ht="15" customHeight="1" x14ac:dyDescent="0.25">
      <c r="B198" s="130" t="s">
        <v>457</v>
      </c>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c r="AG198" s="131"/>
      <c r="AH198" s="131"/>
      <c r="AI198" s="131"/>
      <c r="AJ198" s="131"/>
      <c r="AK198" s="131"/>
      <c r="AL198" s="131"/>
      <c r="AM198" s="131"/>
      <c r="AN198" s="131"/>
      <c r="AO198" s="131"/>
      <c r="AP198" s="131"/>
      <c r="AQ198" s="131"/>
      <c r="AR198" s="131"/>
      <c r="AS198" s="131"/>
      <c r="AT198" s="131"/>
      <c r="AU198" s="131"/>
      <c r="AV198" s="131"/>
      <c r="AW198" s="132"/>
    </row>
    <row r="199" spans="2:49" ht="3" customHeight="1" x14ac:dyDescent="0.25">
      <c r="B199" s="9"/>
      <c r="AW199" s="7"/>
    </row>
    <row r="200" spans="2:49" ht="15" customHeight="1" x14ac:dyDescent="0.25">
      <c r="B200" s="133" t="s">
        <v>428</v>
      </c>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134"/>
      <c r="Y200" s="134"/>
      <c r="Z200" s="134"/>
      <c r="AA200" s="134"/>
      <c r="AB200" s="134"/>
      <c r="AC200" s="134"/>
      <c r="AD200" s="134"/>
      <c r="AE200" s="134"/>
      <c r="AF200" s="134"/>
      <c r="AG200" s="134"/>
      <c r="AH200" s="134"/>
      <c r="AI200" s="134"/>
      <c r="AJ200" s="134"/>
      <c r="AK200" s="134"/>
      <c r="AL200" s="134"/>
      <c r="AM200" s="134"/>
      <c r="AN200" s="134"/>
      <c r="AO200" s="134"/>
      <c r="AP200" s="134"/>
      <c r="AQ200" s="134"/>
      <c r="AR200" s="134"/>
      <c r="AS200" s="134"/>
      <c r="AT200" s="134"/>
      <c r="AU200" s="134"/>
      <c r="AV200" s="134"/>
      <c r="AW200" s="7"/>
    </row>
    <row r="201" spans="2:49" ht="15" customHeight="1" x14ac:dyDescent="0.25">
      <c r="B201" s="133"/>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134"/>
      <c r="Y201" s="134"/>
      <c r="Z201" s="134"/>
      <c r="AA201" s="134"/>
      <c r="AB201" s="134"/>
      <c r="AC201" s="134"/>
      <c r="AD201" s="134"/>
      <c r="AE201" s="134"/>
      <c r="AF201" s="134"/>
      <c r="AG201" s="134"/>
      <c r="AH201" s="134"/>
      <c r="AI201" s="134"/>
      <c r="AJ201" s="134"/>
      <c r="AK201" s="134"/>
      <c r="AL201" s="134"/>
      <c r="AM201" s="134"/>
      <c r="AN201" s="134"/>
      <c r="AO201" s="134"/>
      <c r="AP201" s="134"/>
      <c r="AQ201" s="134"/>
      <c r="AR201" s="134"/>
      <c r="AS201" s="134"/>
      <c r="AT201" s="134"/>
      <c r="AU201" s="134"/>
      <c r="AV201" s="134"/>
      <c r="AW201" s="7"/>
    </row>
    <row r="202" spans="2:49" ht="3" customHeight="1" x14ac:dyDescent="0.25">
      <c r="B202" s="9"/>
      <c r="AW202" s="7"/>
    </row>
    <row r="203" spans="2:49" ht="15" customHeight="1" x14ac:dyDescent="0.25">
      <c r="B203" s="9" t="s">
        <v>431</v>
      </c>
      <c r="AW203" s="7"/>
    </row>
    <row r="204" spans="2:49" ht="3" customHeight="1" x14ac:dyDescent="0.25">
      <c r="B204" s="9"/>
      <c r="AW204" s="7"/>
    </row>
    <row r="205" spans="2:49" ht="33" customHeight="1" x14ac:dyDescent="0.25">
      <c r="B205" s="43" t="s">
        <v>429</v>
      </c>
      <c r="M205" s="135" t="str">
        <f>IFERROR(IF(AND((GFC!B12)&gt;500,Pot_Ativa_Instalada&lt;&gt;"",OR(L94=Dados!B40,L94=Dados!B41)),IF(R89=1,GFC!B18,GFC!P38),"Para esta solicitação, ou a potência a ser conectada não é superior a 500kW ou a modalidade de compensação não se enquadra no critério e não há necessidade de apresentação da garantia de fiel cumprimento"),"")</f>
        <v/>
      </c>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7"/>
    </row>
    <row r="206" spans="2:49" ht="3" customHeight="1" x14ac:dyDescent="0.25">
      <c r="B206" s="10"/>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1"/>
    </row>
    <row r="207" spans="2:49" ht="3" customHeight="1" x14ac:dyDescent="0.25"/>
    <row r="208" spans="2:49" ht="15" customHeight="1" x14ac:dyDescent="0.25">
      <c r="B208" s="130" t="s">
        <v>458</v>
      </c>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c r="AA208" s="131"/>
      <c r="AB208" s="131"/>
      <c r="AC208" s="131"/>
      <c r="AD208" s="131"/>
      <c r="AE208" s="131"/>
      <c r="AF208" s="131"/>
      <c r="AG208" s="131"/>
      <c r="AH208" s="131"/>
      <c r="AI208" s="131"/>
      <c r="AJ208" s="131"/>
      <c r="AK208" s="131"/>
      <c r="AL208" s="131"/>
      <c r="AM208" s="131"/>
      <c r="AN208" s="131"/>
      <c r="AO208" s="131"/>
      <c r="AP208" s="131"/>
      <c r="AQ208" s="131"/>
      <c r="AR208" s="131"/>
      <c r="AS208" s="131"/>
      <c r="AT208" s="131"/>
      <c r="AU208" s="131"/>
      <c r="AV208" s="131"/>
      <c r="AW208" s="132"/>
    </row>
    <row r="209" spans="2:49" ht="4.5" customHeight="1" x14ac:dyDescent="0.25">
      <c r="B209" s="9"/>
      <c r="E209" s="29"/>
      <c r="AW209" s="7"/>
    </row>
    <row r="210" spans="2:49" s="44" customFormat="1" ht="30" customHeight="1" x14ac:dyDescent="0.25">
      <c r="B210" s="122" t="s">
        <v>459</v>
      </c>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45"/>
    </row>
    <row r="211" spans="2:49" s="44" customFormat="1" ht="3" customHeight="1" x14ac:dyDescent="0.25">
      <c r="B211" s="43"/>
      <c r="AW211" s="45"/>
    </row>
    <row r="212" spans="2:49" s="44" customFormat="1" ht="15" customHeight="1" x14ac:dyDescent="0.25">
      <c r="B212" s="278" t="s">
        <v>460</v>
      </c>
      <c r="C212" s="279"/>
      <c r="D212" s="279"/>
      <c r="E212" s="279"/>
      <c r="F212" s="279"/>
      <c r="G212" s="279"/>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45"/>
    </row>
    <row r="213" spans="2:49" s="44" customFormat="1" ht="15" customHeight="1" x14ac:dyDescent="0.25">
      <c r="B213" s="278"/>
      <c r="C213" s="279"/>
      <c r="D213" s="279"/>
      <c r="E213" s="279"/>
      <c r="F213" s="279"/>
      <c r="G213" s="279"/>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45"/>
    </row>
    <row r="214" spans="2:49" s="44" customFormat="1" ht="15" customHeight="1" x14ac:dyDescent="0.25">
      <c r="B214" s="278"/>
      <c r="C214" s="279"/>
      <c r="D214" s="279"/>
      <c r="E214" s="279"/>
      <c r="F214" s="279"/>
      <c r="G214" s="279"/>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45"/>
    </row>
    <row r="215" spans="2:49" s="44" customFormat="1" ht="3" customHeight="1" x14ac:dyDescent="0.25">
      <c r="B215" s="46"/>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5"/>
    </row>
    <row r="216" spans="2:49" s="44" customFormat="1" ht="15" customHeight="1" x14ac:dyDescent="0.25">
      <c r="B216" s="278" t="s">
        <v>461</v>
      </c>
      <c r="C216" s="279"/>
      <c r="D216" s="279"/>
      <c r="E216" s="279"/>
      <c r="F216" s="279"/>
      <c r="G216" s="279"/>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79"/>
      <c r="AF216" s="279"/>
      <c r="AG216" s="279"/>
      <c r="AH216" s="279"/>
      <c r="AI216" s="279"/>
      <c r="AJ216" s="279"/>
      <c r="AK216" s="279"/>
      <c r="AL216" s="279"/>
      <c r="AM216" s="279"/>
      <c r="AN216" s="279"/>
      <c r="AO216" s="279"/>
      <c r="AP216" s="279"/>
      <c r="AQ216" s="279"/>
      <c r="AR216" s="279"/>
      <c r="AS216" s="279"/>
      <c r="AT216" s="279"/>
      <c r="AU216" s="279"/>
      <c r="AV216" s="279"/>
      <c r="AW216" s="45"/>
    </row>
    <row r="217" spans="2:49" s="44" customFormat="1" ht="3" customHeight="1" x14ac:dyDescent="0.25">
      <c r="B217" s="46"/>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5"/>
    </row>
    <row r="218" spans="2:49" s="44" customFormat="1" ht="30" customHeight="1" x14ac:dyDescent="0.25">
      <c r="B218" s="122" t="s">
        <v>462</v>
      </c>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3"/>
      <c r="AL218" s="123"/>
      <c r="AM218" s="123"/>
      <c r="AN218" s="123"/>
      <c r="AO218" s="123"/>
      <c r="AP218" s="123"/>
      <c r="AQ218" s="123"/>
      <c r="AR218" s="123"/>
      <c r="AS218" s="123"/>
      <c r="AT218" s="123"/>
      <c r="AU218" s="123"/>
      <c r="AV218" s="123"/>
      <c r="AW218" s="45"/>
    </row>
    <row r="219" spans="2:49" s="44" customFormat="1" ht="3" customHeight="1" x14ac:dyDescent="0.25">
      <c r="B219" s="43"/>
      <c r="AW219" s="45"/>
    </row>
    <row r="220" spans="2:49" s="44" customFormat="1" ht="17.100000000000001" customHeight="1" x14ac:dyDescent="0.25">
      <c r="B220" s="122" t="s">
        <v>463</v>
      </c>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45"/>
    </row>
    <row r="221" spans="2:49" s="44" customFormat="1" ht="3" customHeight="1" x14ac:dyDescent="0.25">
      <c r="B221" s="43"/>
      <c r="AW221" s="45"/>
    </row>
    <row r="222" spans="2:49" s="44" customFormat="1" ht="15" customHeight="1" x14ac:dyDescent="0.25">
      <c r="B222" s="122" t="s">
        <v>464</v>
      </c>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123"/>
      <c r="AU222" s="123"/>
      <c r="AV222" s="123"/>
      <c r="AW222" s="45"/>
    </row>
    <row r="223" spans="2:49" s="44" customFormat="1" ht="3" customHeight="1" x14ac:dyDescent="0.25">
      <c r="B223" s="48"/>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5"/>
    </row>
    <row r="224" spans="2:49" s="44" customFormat="1" ht="30" customHeight="1" x14ac:dyDescent="0.25">
      <c r="B224" s="122" t="s">
        <v>465</v>
      </c>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c r="AN224" s="123"/>
      <c r="AO224" s="123"/>
      <c r="AP224" s="123"/>
      <c r="AQ224" s="123"/>
      <c r="AR224" s="123"/>
      <c r="AS224" s="123"/>
      <c r="AT224" s="123"/>
      <c r="AU224" s="123"/>
      <c r="AV224" s="123"/>
      <c r="AW224" s="45"/>
    </row>
    <row r="225" spans="2:49" s="44" customFormat="1" ht="3" customHeight="1" x14ac:dyDescent="0.25">
      <c r="B225" s="48"/>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5"/>
    </row>
    <row r="226" spans="2:49" s="44" customFormat="1" ht="17.100000000000001" customHeight="1" x14ac:dyDescent="0.25">
      <c r="B226" s="122" t="s">
        <v>466</v>
      </c>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3"/>
      <c r="AL226" s="123"/>
      <c r="AM226" s="123"/>
      <c r="AN226" s="123"/>
      <c r="AO226" s="123"/>
      <c r="AP226" s="123"/>
      <c r="AQ226" s="123"/>
      <c r="AR226" s="123"/>
      <c r="AS226" s="123"/>
      <c r="AT226" s="123"/>
      <c r="AU226" s="123"/>
      <c r="AV226" s="123"/>
      <c r="AW226" s="45"/>
    </row>
    <row r="227" spans="2:49" s="44" customFormat="1" ht="3" customHeight="1" x14ac:dyDescent="0.25">
      <c r="B227" s="48"/>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5"/>
    </row>
    <row r="228" spans="2:49" s="44" customFormat="1" ht="30" customHeight="1" x14ac:dyDescent="0.25">
      <c r="B228" s="122" t="s">
        <v>467</v>
      </c>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45"/>
    </row>
    <row r="229" spans="2:49" s="44" customFormat="1" ht="3" customHeight="1" x14ac:dyDescent="0.25">
      <c r="B229" s="48"/>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5"/>
    </row>
    <row r="230" spans="2:49" s="44" customFormat="1" ht="30" customHeight="1" x14ac:dyDescent="0.25">
      <c r="B230" s="122" t="s">
        <v>468</v>
      </c>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10"/>
    </row>
    <row r="231" spans="2:49" s="44" customFormat="1" ht="3" customHeight="1" x14ac:dyDescent="0.25">
      <c r="B231" s="48"/>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5"/>
    </row>
    <row r="232" spans="2:49" s="44" customFormat="1" ht="30" customHeight="1" x14ac:dyDescent="0.25">
      <c r="B232" s="122" t="s">
        <v>469</v>
      </c>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K232" s="123"/>
      <c r="AL232" s="123"/>
      <c r="AM232" s="123"/>
      <c r="AN232" s="123"/>
      <c r="AO232" s="123"/>
      <c r="AP232" s="123"/>
      <c r="AQ232" s="123"/>
      <c r="AR232" s="123"/>
      <c r="AS232" s="123"/>
      <c r="AT232" s="123"/>
      <c r="AU232" s="123"/>
      <c r="AV232" s="123"/>
      <c r="AW232" s="45"/>
    </row>
    <row r="233" spans="2:49" s="44" customFormat="1" ht="3" customHeight="1" x14ac:dyDescent="0.25">
      <c r="B233" s="48"/>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5"/>
    </row>
    <row r="234" spans="2:49" s="44" customFormat="1" ht="15" customHeight="1" x14ac:dyDescent="0.25">
      <c r="B234" s="9" t="s">
        <v>144</v>
      </c>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s="7"/>
    </row>
    <row r="235" spans="2:49" s="44" customFormat="1" ht="3" customHeight="1" x14ac:dyDescent="0.25">
      <c r="B235" s="10"/>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1"/>
    </row>
    <row r="236" spans="2:49" ht="3" customHeight="1" x14ac:dyDescent="0.25"/>
    <row r="237" spans="2:49" x14ac:dyDescent="0.25">
      <c r="B237" s="185" t="s">
        <v>470</v>
      </c>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5"/>
      <c r="AL237" s="185"/>
      <c r="AM237" s="185"/>
      <c r="AN237" s="185"/>
      <c r="AO237" s="185"/>
      <c r="AP237" s="185"/>
      <c r="AQ237" s="185"/>
      <c r="AR237" s="185"/>
      <c r="AS237" s="185"/>
      <c r="AT237" s="185"/>
      <c r="AU237" s="185"/>
      <c r="AV237" s="185"/>
      <c r="AW237" s="185"/>
    </row>
    <row r="238" spans="2:49" ht="3.75" customHeight="1" x14ac:dyDescent="0.25">
      <c r="B238" s="9"/>
      <c r="AW238" s="7"/>
    </row>
    <row r="239" spans="2:49" ht="15" customHeight="1" x14ac:dyDescent="0.25">
      <c r="B239" s="275" t="s">
        <v>123</v>
      </c>
      <c r="C239" s="276"/>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c r="AA239" s="277"/>
      <c r="AB239" s="12" t="s">
        <v>120</v>
      </c>
      <c r="AC239" s="13"/>
      <c r="AD239" s="13"/>
      <c r="AE239" s="13"/>
      <c r="AF239" s="13"/>
      <c r="AG239" s="13"/>
      <c r="AH239" s="13"/>
      <c r="AI239" s="13"/>
      <c r="AJ239" s="13"/>
      <c r="AK239" s="13"/>
      <c r="AL239" s="13"/>
      <c r="AM239" s="13"/>
      <c r="AN239" s="13"/>
      <c r="AO239" s="13"/>
      <c r="AP239" s="13"/>
      <c r="AQ239" s="13"/>
      <c r="AR239" s="13"/>
      <c r="AS239" s="13"/>
      <c r="AT239" s="13"/>
      <c r="AU239" s="13"/>
      <c r="AV239" s="13"/>
      <c r="AW239" s="14"/>
    </row>
    <row r="240" spans="2:49" ht="20.25" customHeight="1" x14ac:dyDescent="0.25">
      <c r="B240" s="272" t="s">
        <v>122</v>
      </c>
      <c r="C240" s="273"/>
      <c r="D240" s="273"/>
      <c r="E240" s="273"/>
      <c r="F240" s="273"/>
      <c r="G240" s="273"/>
      <c r="H240" s="273"/>
      <c r="I240" s="273"/>
      <c r="J240" s="273"/>
      <c r="K240" s="273"/>
      <c r="L240" s="273"/>
      <c r="M240" s="273"/>
      <c r="N240" s="273"/>
      <c r="O240" s="273"/>
      <c r="P240" s="273"/>
      <c r="Q240" s="273"/>
      <c r="R240" s="273"/>
      <c r="S240" s="273"/>
      <c r="T240" s="273"/>
      <c r="U240" s="273"/>
      <c r="V240" s="273"/>
      <c r="W240" s="273"/>
      <c r="X240" s="273"/>
      <c r="Y240" s="273"/>
      <c r="Z240" s="273"/>
      <c r="AA240" s="274"/>
      <c r="AB240" s="42" t="s">
        <v>121</v>
      </c>
      <c r="AC240" s="1"/>
      <c r="AD240" s="1"/>
      <c r="AE240" s="1"/>
      <c r="AF240" s="1"/>
      <c r="AG240" s="1"/>
      <c r="AH240" s="1"/>
      <c r="AI240" s="1"/>
      <c r="AJ240" s="1"/>
      <c r="AK240" s="1"/>
      <c r="AL240" s="1"/>
      <c r="AM240" s="1"/>
      <c r="AN240" s="1"/>
      <c r="AO240" s="1"/>
      <c r="AP240" s="1"/>
      <c r="AQ240" s="1"/>
      <c r="AR240" s="1"/>
      <c r="AS240" s="1"/>
      <c r="AT240" s="1"/>
      <c r="AU240" s="1"/>
      <c r="AV240" s="1"/>
      <c r="AW240" s="11"/>
    </row>
    <row r="241" spans="2:49" ht="15" customHeight="1" x14ac:dyDescent="0.25">
      <c r="B241" s="284" t="s">
        <v>124</v>
      </c>
      <c r="C241" s="285"/>
      <c r="D241" s="285"/>
      <c r="E241" s="285"/>
      <c r="F241" s="285"/>
      <c r="G241" s="285"/>
      <c r="H241" s="285"/>
      <c r="I241" s="285"/>
      <c r="J241" s="285"/>
      <c r="K241" s="285"/>
      <c r="L241" s="285"/>
      <c r="M241" s="285"/>
      <c r="N241" s="285"/>
      <c r="O241" s="285"/>
      <c r="P241" s="285"/>
      <c r="Q241" s="285"/>
      <c r="R241" s="285"/>
      <c r="S241" s="285"/>
      <c r="T241" s="285"/>
      <c r="U241" s="285"/>
      <c r="V241" s="285"/>
      <c r="W241" s="285"/>
      <c r="X241" s="285"/>
      <c r="Y241" s="285"/>
      <c r="Z241" s="285"/>
      <c r="AA241" s="285"/>
      <c r="AB241" s="280" t="s">
        <v>125</v>
      </c>
      <c r="AC241" s="280"/>
      <c r="AD241" s="280"/>
      <c r="AE241" s="280"/>
      <c r="AF241" s="280"/>
      <c r="AG241" s="280"/>
      <c r="AH241" s="280"/>
      <c r="AI241" s="280"/>
      <c r="AJ241" s="280"/>
      <c r="AK241" s="280"/>
      <c r="AL241" s="280"/>
      <c r="AM241" s="280"/>
      <c r="AN241" s="280"/>
      <c r="AO241" s="280"/>
      <c r="AP241" s="280"/>
      <c r="AQ241" s="280"/>
      <c r="AR241" s="280"/>
      <c r="AS241" s="280"/>
      <c r="AT241" s="280"/>
      <c r="AU241" s="280"/>
      <c r="AV241" s="280"/>
      <c r="AW241" s="281"/>
    </row>
    <row r="242" spans="2:49" ht="3" customHeight="1" x14ac:dyDescent="0.25"/>
    <row r="243" spans="2:49" ht="15" customHeight="1" x14ac:dyDescent="0.25">
      <c r="B243" s="130" t="s">
        <v>482</v>
      </c>
      <c r="C243" s="131"/>
      <c r="D243" s="131"/>
      <c r="E243" s="131"/>
      <c r="F243" s="131"/>
      <c r="G243" s="131"/>
      <c r="H243" s="131"/>
      <c r="I243" s="131"/>
      <c r="J243" s="131"/>
      <c r="K243" s="131"/>
      <c r="L243" s="131"/>
      <c r="M243" s="131"/>
      <c r="N243" s="131"/>
      <c r="O243" s="131"/>
      <c r="P243" s="131"/>
      <c r="Q243" s="131"/>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c r="AM243" s="131"/>
      <c r="AN243" s="131"/>
      <c r="AO243" s="131"/>
      <c r="AP243" s="131"/>
      <c r="AQ243" s="131"/>
      <c r="AR243" s="131"/>
      <c r="AS243" s="131"/>
      <c r="AT243" s="131"/>
      <c r="AU243" s="131"/>
      <c r="AV243" s="131"/>
      <c r="AW243" s="132"/>
    </row>
    <row r="244" spans="2:49" ht="3" customHeight="1" thickBot="1" x14ac:dyDescent="0.3">
      <c r="B244" s="9"/>
      <c r="E244" s="29"/>
      <c r="AW244" s="7"/>
    </row>
    <row r="245" spans="2:49" ht="15" customHeight="1" x14ac:dyDescent="0.25">
      <c r="B245" s="89"/>
      <c r="C245" s="62"/>
      <c r="E245" s="123" t="s">
        <v>535</v>
      </c>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4" t="s">
        <v>210</v>
      </c>
      <c r="AC245" s="125"/>
      <c r="AD245" s="62"/>
      <c r="AE245" s="62"/>
      <c r="AF245" s="62"/>
      <c r="AG245" s="62"/>
      <c r="AH245" s="62"/>
      <c r="AI245" s="62"/>
      <c r="AJ245" s="62"/>
      <c r="AK245" s="62"/>
      <c r="AL245" s="62"/>
      <c r="AM245" s="62"/>
      <c r="AN245" s="62"/>
      <c r="AO245" s="62"/>
      <c r="AP245" s="62"/>
      <c r="AQ245" s="62"/>
      <c r="AR245" s="62"/>
      <c r="AS245" s="62"/>
      <c r="AT245" s="62"/>
      <c r="AU245" s="62"/>
      <c r="AV245" s="62"/>
      <c r="AW245" s="45"/>
    </row>
    <row r="246" spans="2:49" ht="3" customHeight="1" x14ac:dyDescent="0.25">
      <c r="B246" s="89"/>
      <c r="C246" s="120"/>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c r="AU246" s="62"/>
      <c r="AV246" s="62"/>
      <c r="AW246" s="45"/>
    </row>
    <row r="247" spans="2:49" ht="15" customHeight="1" x14ac:dyDescent="0.25">
      <c r="B247" s="89"/>
      <c r="C247" s="120"/>
      <c r="D247" s="62"/>
      <c r="E247" s="220" t="str">
        <f>IF(AB245="Não",Dados!B60,Dados!B61)</f>
        <v>Para a resposta do item 9.1 = 'Não', você deve solicitar seu pedido de vistoria e ligação em até 120 dias após a conclusão das etapas do orçamento de conexão</v>
      </c>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c r="AE247" s="220"/>
      <c r="AF247" s="220"/>
      <c r="AG247" s="220"/>
      <c r="AH247" s="220"/>
      <c r="AI247" s="220"/>
      <c r="AJ247" s="220"/>
      <c r="AK247" s="220"/>
      <c r="AL247" s="220"/>
      <c r="AM247" s="220"/>
      <c r="AN247" s="220"/>
      <c r="AO247" s="220"/>
      <c r="AP247" s="220"/>
      <c r="AQ247" s="220"/>
      <c r="AR247" s="220"/>
      <c r="AS247" s="220"/>
      <c r="AT247" s="220"/>
      <c r="AU247" s="220"/>
      <c r="AV247" s="220"/>
      <c r="AW247" s="45"/>
    </row>
    <row r="248" spans="2:49" ht="15" customHeight="1" x14ac:dyDescent="0.25">
      <c r="B248" s="43"/>
      <c r="C248" s="44"/>
      <c r="D248" s="44"/>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c r="AB248" s="220"/>
      <c r="AC248" s="220"/>
      <c r="AD248" s="220"/>
      <c r="AE248" s="220"/>
      <c r="AF248" s="220"/>
      <c r="AG248" s="220"/>
      <c r="AH248" s="220"/>
      <c r="AI248" s="220"/>
      <c r="AJ248" s="220"/>
      <c r="AK248" s="220"/>
      <c r="AL248" s="220"/>
      <c r="AM248" s="220"/>
      <c r="AN248" s="220"/>
      <c r="AO248" s="220"/>
      <c r="AP248" s="220"/>
      <c r="AQ248" s="220"/>
      <c r="AR248" s="220"/>
      <c r="AS248" s="220"/>
      <c r="AT248" s="220"/>
      <c r="AU248" s="220"/>
      <c r="AV248" s="220"/>
      <c r="AW248" s="45"/>
    </row>
    <row r="249" spans="2:49" ht="3" customHeight="1" thickBot="1" x14ac:dyDescent="0.3">
      <c r="B249" s="43"/>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5"/>
    </row>
    <row r="250" spans="2:49" ht="15" customHeight="1" thickBot="1" x14ac:dyDescent="0.3">
      <c r="B250" s="114"/>
      <c r="C250" s="121"/>
      <c r="D250" s="115"/>
      <c r="E250" s="286" t="s">
        <v>536</v>
      </c>
      <c r="F250" s="286"/>
      <c r="G250" s="286"/>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45"/>
    </row>
    <row r="251" spans="2:49" ht="15" customHeight="1" x14ac:dyDescent="0.25">
      <c r="B251" s="114"/>
      <c r="C251" s="115"/>
      <c r="D251" s="115"/>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45"/>
    </row>
    <row r="252" spans="2:49" ht="3" customHeight="1" thickBot="1" x14ac:dyDescent="0.3">
      <c r="B252" s="114"/>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45"/>
    </row>
    <row r="253" spans="2:49" ht="15" customHeight="1" thickBot="1" x14ac:dyDescent="0.3">
      <c r="B253" s="46"/>
      <c r="C253" s="121"/>
      <c r="D253" s="47"/>
      <c r="E253" s="279" t="s">
        <v>537</v>
      </c>
      <c r="F253" s="279"/>
      <c r="G253" s="279"/>
      <c r="H253" s="279"/>
      <c r="I253" s="279"/>
      <c r="J253" s="279"/>
      <c r="K253" s="279"/>
      <c r="L253" s="279"/>
      <c r="M253" s="279"/>
      <c r="N253" s="279"/>
      <c r="O253" s="279"/>
      <c r="P253" s="279"/>
      <c r="Q253" s="279"/>
      <c r="R253" s="279"/>
      <c r="S253" s="279"/>
      <c r="T253" s="279"/>
      <c r="U253" s="279"/>
      <c r="V253" s="279"/>
      <c r="W253" s="279"/>
      <c r="X253" s="279"/>
      <c r="Y253" s="279"/>
      <c r="Z253" s="279"/>
      <c r="AA253" s="279"/>
      <c r="AB253" s="279"/>
      <c r="AC253" s="279"/>
      <c r="AD253" s="279"/>
      <c r="AE253" s="279"/>
      <c r="AF253" s="279"/>
      <c r="AG253" s="279"/>
      <c r="AH253" s="279"/>
      <c r="AI253" s="279"/>
      <c r="AJ253" s="279"/>
      <c r="AK253" s="279"/>
      <c r="AL253" s="279"/>
      <c r="AM253" s="279"/>
      <c r="AN253" s="279"/>
      <c r="AO253" s="279"/>
      <c r="AP253" s="279"/>
      <c r="AQ253" s="279"/>
      <c r="AR253" s="279"/>
      <c r="AS253" s="279"/>
      <c r="AT253" s="279"/>
      <c r="AU253" s="279"/>
      <c r="AV253" s="279"/>
      <c r="AW253" s="45"/>
    </row>
    <row r="254" spans="2:49" ht="15" customHeight="1" x14ac:dyDescent="0.25">
      <c r="B254" s="114"/>
      <c r="C254" s="115"/>
      <c r="D254" s="115"/>
      <c r="E254" s="279"/>
      <c r="F254" s="279"/>
      <c r="G254" s="279"/>
      <c r="H254" s="279"/>
      <c r="I254" s="279"/>
      <c r="J254" s="279"/>
      <c r="K254" s="279"/>
      <c r="L254" s="279"/>
      <c r="M254" s="279"/>
      <c r="N254" s="279"/>
      <c r="O254" s="279"/>
      <c r="P254" s="279"/>
      <c r="Q254" s="279"/>
      <c r="R254" s="279"/>
      <c r="S254" s="279"/>
      <c r="T254" s="279"/>
      <c r="U254" s="279"/>
      <c r="V254" s="279"/>
      <c r="W254" s="279"/>
      <c r="X254" s="279"/>
      <c r="Y254" s="279"/>
      <c r="Z254" s="279"/>
      <c r="AA254" s="279"/>
      <c r="AB254" s="279"/>
      <c r="AC254" s="279"/>
      <c r="AD254" s="279"/>
      <c r="AE254" s="279"/>
      <c r="AF254" s="279"/>
      <c r="AG254" s="279"/>
      <c r="AH254" s="279"/>
      <c r="AI254" s="279"/>
      <c r="AJ254" s="279"/>
      <c r="AK254" s="279"/>
      <c r="AL254" s="279"/>
      <c r="AM254" s="279"/>
      <c r="AN254" s="279"/>
      <c r="AO254" s="279"/>
      <c r="AP254" s="279"/>
      <c r="AQ254" s="279"/>
      <c r="AR254" s="279"/>
      <c r="AS254" s="279"/>
      <c r="AT254" s="279"/>
      <c r="AU254" s="279"/>
      <c r="AV254" s="279"/>
      <c r="AW254" s="45"/>
    </row>
    <row r="255" spans="2:49" ht="3" customHeight="1" thickBot="1" x14ac:dyDescent="0.3">
      <c r="B255" s="46"/>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5"/>
    </row>
    <row r="256" spans="2:49" ht="15" customHeight="1" thickBot="1" x14ac:dyDescent="0.3">
      <c r="B256" s="89"/>
      <c r="C256" s="113" t="s">
        <v>481</v>
      </c>
      <c r="D256" s="62"/>
      <c r="E256" s="123" t="s">
        <v>538</v>
      </c>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45"/>
    </row>
    <row r="257" spans="2:49" ht="15" customHeight="1" x14ac:dyDescent="0.25">
      <c r="B257" s="9"/>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7"/>
    </row>
    <row r="258" spans="2:49" ht="15" customHeight="1" x14ac:dyDescent="0.25">
      <c r="B258" s="9"/>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7"/>
    </row>
    <row r="259" spans="2:49" ht="3" customHeight="1" thickBot="1" x14ac:dyDescent="0.3">
      <c r="B259" s="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7"/>
    </row>
    <row r="260" spans="2:49" ht="15" customHeight="1" thickBot="1" x14ac:dyDescent="0.3">
      <c r="B260" s="9"/>
      <c r="C260" s="113" t="str">
        <f>IF(P55="Sim","X","")</f>
        <v/>
      </c>
      <c r="E260" s="123" t="s">
        <v>539</v>
      </c>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3"/>
      <c r="AL260" s="123"/>
      <c r="AM260" s="123"/>
      <c r="AN260" s="123"/>
      <c r="AO260" s="123"/>
      <c r="AP260" s="123"/>
      <c r="AQ260" s="123"/>
      <c r="AR260" s="123"/>
      <c r="AS260" s="123"/>
      <c r="AT260" s="123"/>
      <c r="AU260" s="123"/>
      <c r="AV260" s="123"/>
      <c r="AW260" s="7"/>
    </row>
    <row r="261" spans="2:49" ht="3" customHeight="1" x14ac:dyDescent="0.25">
      <c r="B261" s="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7"/>
    </row>
    <row r="262" spans="2:49" ht="15" customHeight="1" x14ac:dyDescent="0.25">
      <c r="B262" s="9"/>
      <c r="E262" t="s">
        <v>553</v>
      </c>
      <c r="AW262" s="7"/>
    </row>
    <row r="263" spans="2:49" ht="3" customHeight="1" thickBot="1" x14ac:dyDescent="0.3">
      <c r="B263" s="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7"/>
    </row>
    <row r="264" spans="2:49" ht="15" customHeight="1" thickBot="1" x14ac:dyDescent="0.3">
      <c r="B264" s="9"/>
      <c r="C264" s="113" t="s">
        <v>481</v>
      </c>
      <c r="E264" s="123" t="s">
        <v>540</v>
      </c>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3"/>
      <c r="AL264" s="123"/>
      <c r="AM264" s="123"/>
      <c r="AN264" s="123"/>
      <c r="AO264" s="123"/>
      <c r="AP264" s="123"/>
      <c r="AQ264" s="123"/>
      <c r="AR264" s="123"/>
      <c r="AS264" s="123"/>
      <c r="AT264" s="123"/>
      <c r="AU264" s="123"/>
      <c r="AV264" s="123"/>
      <c r="AW264" s="7"/>
    </row>
    <row r="265" spans="2:49" ht="3" customHeight="1" x14ac:dyDescent="0.25">
      <c r="B265" s="10"/>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1"/>
    </row>
    <row r="266" spans="2:49" ht="3" customHeight="1" x14ac:dyDescent="0.25"/>
    <row r="267" spans="2:49" x14ac:dyDescent="0.25">
      <c r="B267" s="185" t="s">
        <v>479</v>
      </c>
      <c r="C267" s="185"/>
      <c r="D267" s="185"/>
      <c r="E267" s="185"/>
      <c r="F267" s="185"/>
      <c r="G267" s="185"/>
      <c r="H267" s="185"/>
      <c r="I267" s="185"/>
      <c r="J267" s="185"/>
      <c r="K267" s="185"/>
      <c r="L267" s="185"/>
      <c r="M267" s="185"/>
      <c r="N267" s="185"/>
      <c r="O267" s="185"/>
      <c r="P267" s="185"/>
      <c r="Q267" s="185"/>
      <c r="R267" s="185"/>
      <c r="S267" s="185"/>
      <c r="T267" s="185"/>
      <c r="U267" s="185"/>
      <c r="V267" s="185"/>
      <c r="W267" s="185"/>
      <c r="X267" s="185"/>
      <c r="Y267" s="185"/>
      <c r="Z267" s="185"/>
      <c r="AA267" s="185"/>
      <c r="AB267" s="185"/>
      <c r="AC267" s="185"/>
      <c r="AD267" s="185"/>
      <c r="AE267" s="185"/>
      <c r="AF267" s="185"/>
      <c r="AG267" s="185"/>
      <c r="AH267" s="185"/>
      <c r="AI267" s="185"/>
      <c r="AJ267" s="185"/>
      <c r="AK267" s="185"/>
      <c r="AL267" s="185"/>
      <c r="AM267" s="185"/>
      <c r="AN267" s="185"/>
      <c r="AO267" s="185"/>
      <c r="AP267" s="185"/>
      <c r="AQ267" s="185"/>
      <c r="AR267" s="185"/>
      <c r="AS267" s="185"/>
      <c r="AT267" s="185"/>
      <c r="AU267" s="185"/>
      <c r="AV267" s="185"/>
      <c r="AW267" s="185"/>
    </row>
    <row r="268" spans="2:49" ht="3.75" customHeight="1" thickBot="1" x14ac:dyDescent="0.3">
      <c r="B268" s="9"/>
      <c r="AW268" s="7"/>
    </row>
    <row r="269" spans="2:49" ht="15" customHeight="1" x14ac:dyDescent="0.25">
      <c r="B269" s="9" t="s">
        <v>222</v>
      </c>
      <c r="O269" s="211"/>
      <c r="P269" s="212"/>
      <c r="Q269" s="212"/>
      <c r="R269" s="212"/>
      <c r="S269" s="212"/>
      <c r="T269" s="212"/>
      <c r="U269" s="212"/>
      <c r="V269" s="212"/>
      <c r="W269" s="212"/>
      <c r="X269" s="212"/>
      <c r="Y269" s="212"/>
      <c r="Z269" s="212"/>
      <c r="AA269" s="212"/>
      <c r="AB269" s="212"/>
      <c r="AC269" s="212"/>
      <c r="AD269" s="212"/>
      <c r="AE269" s="212"/>
      <c r="AF269" s="212"/>
      <c r="AG269" s="212"/>
      <c r="AH269" s="212"/>
      <c r="AI269" s="212"/>
      <c r="AJ269" s="212"/>
      <c r="AK269" s="212"/>
      <c r="AL269" s="212"/>
      <c r="AM269" s="212"/>
      <c r="AN269" s="212"/>
      <c r="AO269" s="212"/>
      <c r="AP269" s="212"/>
      <c r="AQ269" s="212"/>
      <c r="AR269" s="212"/>
      <c r="AS269" s="212"/>
      <c r="AT269" s="212"/>
      <c r="AU269" s="212"/>
      <c r="AV269" s="213"/>
      <c r="AW269" s="7"/>
    </row>
    <row r="270" spans="2:49" ht="3.95" customHeight="1" thickBot="1" x14ac:dyDescent="0.3">
      <c r="B270" s="9"/>
      <c r="AW270" s="7"/>
    </row>
    <row r="271" spans="2:49" ht="15" customHeight="1" x14ac:dyDescent="0.25">
      <c r="B271" s="9" t="s">
        <v>1</v>
      </c>
      <c r="F271" s="206"/>
      <c r="G271" s="207"/>
      <c r="H271" s="207"/>
      <c r="I271" s="207"/>
      <c r="J271" s="208"/>
      <c r="L271" t="s">
        <v>241</v>
      </c>
      <c r="O271" s="214"/>
      <c r="P271" s="215"/>
      <c r="Q271" s="215"/>
      <c r="R271" s="215"/>
      <c r="S271" s="215"/>
      <c r="T271" s="216"/>
      <c r="V271" s="150" t="s">
        <v>64</v>
      </c>
      <c r="W271" s="150"/>
      <c r="X271" s="150"/>
      <c r="Y271" s="217"/>
      <c r="Z271" s="218"/>
      <c r="AA271" s="218"/>
      <c r="AB271" s="218"/>
      <c r="AC271" s="218"/>
      <c r="AD271" s="218"/>
      <c r="AE271" s="218"/>
      <c r="AF271" s="218"/>
      <c r="AG271" s="218"/>
      <c r="AH271" s="218"/>
      <c r="AI271" s="218"/>
      <c r="AJ271" s="218"/>
      <c r="AK271" s="218"/>
      <c r="AL271" s="218"/>
      <c r="AM271" s="218"/>
      <c r="AN271" s="218"/>
      <c r="AO271" s="218"/>
      <c r="AP271" s="218"/>
      <c r="AQ271" s="218"/>
      <c r="AR271" s="218"/>
      <c r="AS271" s="218"/>
      <c r="AT271" s="218"/>
      <c r="AU271" s="218"/>
      <c r="AV271" s="219"/>
      <c r="AW271" s="7"/>
    </row>
    <row r="272" spans="2:49" ht="3" customHeight="1" x14ac:dyDescent="0.25">
      <c r="B272" s="10"/>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1"/>
    </row>
    <row r="273" spans="2:49" ht="3.95" customHeight="1" thickBot="1" x14ac:dyDescent="0.3">
      <c r="B273" s="9"/>
      <c r="AW273" s="7"/>
    </row>
    <row r="274" spans="2:49" x14ac:dyDescent="0.25">
      <c r="B274" s="9" t="s">
        <v>202</v>
      </c>
      <c r="O274" s="68"/>
      <c r="P274" s="68"/>
      <c r="Q274" s="211"/>
      <c r="R274" s="212"/>
      <c r="S274" s="212"/>
      <c r="T274" s="212"/>
      <c r="U274" s="212"/>
      <c r="V274" s="212"/>
      <c r="W274" s="212"/>
      <c r="X274" s="212"/>
      <c r="Y274" s="212"/>
      <c r="Z274" s="212"/>
      <c r="AA274" s="212"/>
      <c r="AB274" s="212"/>
      <c r="AC274" s="212"/>
      <c r="AD274" s="212"/>
      <c r="AE274" s="212"/>
      <c r="AF274" s="212"/>
      <c r="AG274" s="212"/>
      <c r="AH274" s="212"/>
      <c r="AI274" s="212"/>
      <c r="AJ274" s="212"/>
      <c r="AK274" s="212"/>
      <c r="AL274" s="212"/>
      <c r="AM274" s="212"/>
      <c r="AN274" s="212"/>
      <c r="AO274" s="212"/>
      <c r="AP274" s="212"/>
      <c r="AQ274" s="212"/>
      <c r="AR274" s="212"/>
      <c r="AS274" s="212"/>
      <c r="AT274" s="212"/>
      <c r="AU274" s="212"/>
      <c r="AV274" s="213"/>
      <c r="AW274" s="7"/>
    </row>
    <row r="275" spans="2:49" ht="3" customHeight="1" thickBot="1" x14ac:dyDescent="0.3">
      <c r="B275" s="9"/>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7"/>
    </row>
    <row r="276" spans="2:49" x14ac:dyDescent="0.25">
      <c r="B276" s="282" t="s">
        <v>200</v>
      </c>
      <c r="C276" s="283"/>
      <c r="D276" s="283"/>
      <c r="E276" s="283"/>
      <c r="F276" s="283"/>
      <c r="G276" s="283"/>
      <c r="H276" s="283"/>
      <c r="I276" s="283"/>
      <c r="J276" s="283"/>
      <c r="K276" s="283"/>
      <c r="L276" s="283"/>
      <c r="M276" s="283"/>
      <c r="N276" s="283"/>
      <c r="O276" s="211"/>
      <c r="P276" s="212"/>
      <c r="Q276" s="212"/>
      <c r="R276" s="212"/>
      <c r="S276" s="212"/>
      <c r="T276" s="212"/>
      <c r="U276" s="212"/>
      <c r="V276" s="212"/>
      <c r="W276" s="212"/>
      <c r="X276" s="212"/>
      <c r="Y276" s="212"/>
      <c r="Z276" s="212"/>
      <c r="AA276" s="212"/>
      <c r="AB276" s="212"/>
      <c r="AC276" s="212"/>
      <c r="AD276" s="212"/>
      <c r="AE276" s="212"/>
      <c r="AF276" s="212"/>
      <c r="AG276" s="212"/>
      <c r="AH276" s="212"/>
      <c r="AI276" s="212"/>
      <c r="AJ276" s="212"/>
      <c r="AK276" s="212"/>
      <c r="AL276" s="212"/>
      <c r="AM276" s="212"/>
      <c r="AN276" s="212"/>
      <c r="AO276" s="212"/>
      <c r="AP276" s="212"/>
      <c r="AQ276" s="212"/>
      <c r="AR276" s="212"/>
      <c r="AS276" s="212"/>
      <c r="AT276" s="212"/>
      <c r="AU276" s="212"/>
      <c r="AV276" s="213"/>
      <c r="AW276" s="7"/>
    </row>
    <row r="277" spans="2:49" ht="3" customHeight="1" thickBot="1" x14ac:dyDescent="0.3">
      <c r="B277" s="282"/>
      <c r="C277" s="283"/>
      <c r="D277" s="283"/>
      <c r="E277" s="283"/>
      <c r="F277" s="283"/>
      <c r="G277" s="283"/>
      <c r="H277" s="283"/>
      <c r="I277" s="283"/>
      <c r="J277" s="283"/>
      <c r="K277" s="283"/>
      <c r="L277" s="283"/>
      <c r="M277" s="283"/>
      <c r="N277" s="283"/>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7"/>
    </row>
    <row r="278" spans="2:49" x14ac:dyDescent="0.25">
      <c r="B278" s="282"/>
      <c r="C278" s="283"/>
      <c r="D278" s="283"/>
      <c r="E278" s="283"/>
      <c r="F278" s="283"/>
      <c r="G278" s="283"/>
      <c r="H278" s="283"/>
      <c r="I278" s="283"/>
      <c r="J278" s="283"/>
      <c r="K278" s="283"/>
      <c r="L278" s="283"/>
      <c r="M278" s="283"/>
      <c r="N278" s="283"/>
      <c r="O278" s="211"/>
      <c r="P278" s="212"/>
      <c r="Q278" s="212"/>
      <c r="R278" s="212"/>
      <c r="S278" s="212"/>
      <c r="T278" s="212"/>
      <c r="U278" s="212"/>
      <c r="V278" s="212"/>
      <c r="W278" s="212"/>
      <c r="X278" s="212"/>
      <c r="Y278" s="212"/>
      <c r="Z278" s="212"/>
      <c r="AA278" s="212"/>
      <c r="AB278" s="212"/>
      <c r="AC278" s="212"/>
      <c r="AD278" s="212"/>
      <c r="AE278" s="212"/>
      <c r="AF278" s="212"/>
      <c r="AG278" s="212"/>
      <c r="AH278" s="212"/>
      <c r="AI278" s="212"/>
      <c r="AJ278" s="212"/>
      <c r="AK278" s="212"/>
      <c r="AL278" s="212"/>
      <c r="AM278" s="212"/>
      <c r="AN278" s="212"/>
      <c r="AO278" s="212"/>
      <c r="AP278" s="212"/>
      <c r="AQ278" s="212"/>
      <c r="AR278" s="212"/>
      <c r="AS278" s="212"/>
      <c r="AT278" s="212"/>
      <c r="AU278" s="212"/>
      <c r="AV278" s="213"/>
      <c r="AW278" s="7"/>
    </row>
    <row r="279" spans="2:49" ht="7.5" customHeight="1" thickBot="1" x14ac:dyDescent="0.3">
      <c r="B279" s="9"/>
      <c r="AW279" s="7"/>
    </row>
    <row r="280" spans="2:49" x14ac:dyDescent="0.25">
      <c r="B280" s="9" t="s">
        <v>1</v>
      </c>
      <c r="F280" s="206"/>
      <c r="G280" s="207"/>
      <c r="H280" s="207"/>
      <c r="I280" s="207"/>
      <c r="J280" s="208"/>
      <c r="L280" t="s">
        <v>241</v>
      </c>
      <c r="O280" s="214"/>
      <c r="P280" s="215"/>
      <c r="Q280" s="215"/>
      <c r="R280" s="215"/>
      <c r="S280" s="215"/>
      <c r="T280" s="216"/>
      <c r="V280" s="150" t="s">
        <v>64</v>
      </c>
      <c r="W280" s="150"/>
      <c r="X280" s="150"/>
      <c r="Y280" s="217"/>
      <c r="Z280" s="218"/>
      <c r="AA280" s="218"/>
      <c r="AB280" s="218"/>
      <c r="AC280" s="218"/>
      <c r="AD280" s="218"/>
      <c r="AE280" s="218"/>
      <c r="AF280" s="218"/>
      <c r="AG280" s="218"/>
      <c r="AH280" s="218"/>
      <c r="AI280" s="218"/>
      <c r="AJ280" s="218"/>
      <c r="AK280" s="218"/>
      <c r="AL280" s="218"/>
      <c r="AM280" s="218"/>
      <c r="AN280" s="218"/>
      <c r="AO280" s="218"/>
      <c r="AP280" s="218"/>
      <c r="AQ280" s="218"/>
      <c r="AR280" s="218"/>
      <c r="AS280" s="218"/>
      <c r="AT280" s="218"/>
      <c r="AU280" s="218"/>
      <c r="AV280" s="219"/>
      <c r="AW280" s="7"/>
    </row>
    <row r="281" spans="2:49" ht="3" customHeight="1" x14ac:dyDescent="0.25">
      <c r="B281" s="9"/>
      <c r="F281" s="59"/>
      <c r="G281" s="59"/>
      <c r="H281" s="59"/>
      <c r="I281" s="59"/>
      <c r="J281" s="59"/>
      <c r="O281" s="60"/>
      <c r="P281" s="60"/>
      <c r="Q281" s="60"/>
      <c r="R281" s="60"/>
      <c r="S281" s="60"/>
      <c r="T281" s="60"/>
      <c r="V281" s="61"/>
      <c r="W281" s="61"/>
      <c r="X281" s="61"/>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7"/>
    </row>
    <row r="282" spans="2:49" ht="3" customHeight="1" thickBot="1" x14ac:dyDescent="0.3">
      <c r="B282" s="9"/>
      <c r="AW282" s="7"/>
    </row>
    <row r="283" spans="2:49" ht="15" customHeight="1" x14ac:dyDescent="0.25">
      <c r="B283" s="9" t="s">
        <v>199</v>
      </c>
      <c r="G283" s="124"/>
      <c r="H283" s="141"/>
      <c r="I283" s="141"/>
      <c r="J283" s="141"/>
      <c r="K283" s="141"/>
      <c r="L283" s="141"/>
      <c r="M283" s="141"/>
      <c r="N283" s="141"/>
      <c r="O283" s="141"/>
      <c r="P283" s="141"/>
      <c r="Q283" s="141"/>
      <c r="R283" s="141"/>
      <c r="S283" s="141"/>
      <c r="T283" s="141"/>
      <c r="U283" s="141"/>
      <c r="V283" s="141"/>
      <c r="W283" s="141"/>
      <c r="X283" s="141"/>
      <c r="Y283" s="141"/>
      <c r="Z283" s="141"/>
      <c r="AA283" s="141"/>
      <c r="AB283" s="141"/>
      <c r="AC283" s="141"/>
      <c r="AD283" s="141"/>
      <c r="AE283" s="141"/>
      <c r="AF283" s="141"/>
      <c r="AG283" s="141"/>
      <c r="AH283" s="141"/>
      <c r="AI283" s="141"/>
      <c r="AJ283" s="141"/>
      <c r="AK283" s="141"/>
      <c r="AL283" s="141"/>
      <c r="AM283" s="141"/>
      <c r="AN283" s="141"/>
      <c r="AO283" s="141"/>
      <c r="AP283" s="141"/>
      <c r="AQ283" s="141"/>
      <c r="AR283" s="141"/>
      <c r="AS283" s="141"/>
      <c r="AT283" s="141"/>
      <c r="AU283" s="141"/>
      <c r="AV283" s="125"/>
      <c r="AW283" s="7"/>
    </row>
    <row r="284" spans="2:49" ht="3" customHeight="1" thickBot="1" x14ac:dyDescent="0.3">
      <c r="B284" s="9"/>
      <c r="G284" s="69"/>
      <c r="H284" s="69"/>
      <c r="I284" s="69"/>
      <c r="J284" s="69"/>
      <c r="K284" s="69"/>
      <c r="L284" s="69"/>
      <c r="M284" s="69"/>
      <c r="N284" s="69"/>
      <c r="O284" s="69"/>
      <c r="P284" s="69"/>
      <c r="Q284" s="69"/>
      <c r="R284" s="69"/>
      <c r="S284" s="69"/>
      <c r="T284" s="69"/>
      <c r="U284" s="69"/>
      <c r="V284" s="69"/>
      <c r="W284" s="69"/>
      <c r="X284" s="69"/>
      <c r="Y284" s="69"/>
      <c r="Z284" s="69"/>
      <c r="AA284" s="69"/>
      <c r="AB284" s="69"/>
      <c r="AC284" s="69"/>
      <c r="AD284" s="69"/>
      <c r="AE284" s="69"/>
      <c r="AF284" s="69"/>
      <c r="AG284" s="69"/>
      <c r="AH284" s="69"/>
      <c r="AI284" s="69"/>
      <c r="AJ284" s="69"/>
      <c r="AK284" s="69"/>
      <c r="AL284" s="69"/>
      <c r="AM284" s="69"/>
      <c r="AN284" s="69"/>
      <c r="AO284" s="69"/>
      <c r="AP284" s="69"/>
      <c r="AQ284" s="69"/>
      <c r="AR284" s="69"/>
      <c r="AS284" s="69"/>
      <c r="AT284" s="69"/>
      <c r="AU284" s="69"/>
      <c r="AV284" s="69"/>
      <c r="AW284" s="7"/>
    </row>
    <row r="285" spans="2:49" ht="15" customHeight="1" x14ac:dyDescent="0.25">
      <c r="B285" s="9"/>
      <c r="G285" s="124"/>
      <c r="H285" s="141"/>
      <c r="I285" s="141"/>
      <c r="J285" s="141"/>
      <c r="K285" s="141"/>
      <c r="L285" s="141"/>
      <c r="M285" s="141"/>
      <c r="N285" s="141"/>
      <c r="O285" s="141"/>
      <c r="P285" s="141"/>
      <c r="Q285" s="141"/>
      <c r="R285" s="141"/>
      <c r="S285" s="141"/>
      <c r="T285" s="141"/>
      <c r="U285" s="141"/>
      <c r="V285" s="141"/>
      <c r="W285" s="141"/>
      <c r="X285" s="141"/>
      <c r="Y285" s="141"/>
      <c r="Z285" s="141"/>
      <c r="AA285" s="141"/>
      <c r="AB285" s="141"/>
      <c r="AC285" s="141"/>
      <c r="AD285" s="141"/>
      <c r="AE285" s="141"/>
      <c r="AF285" s="141"/>
      <c r="AG285" s="141"/>
      <c r="AH285" s="141"/>
      <c r="AI285" s="141"/>
      <c r="AJ285" s="141"/>
      <c r="AK285" s="141"/>
      <c r="AL285" s="141"/>
      <c r="AM285" s="141"/>
      <c r="AN285" s="141"/>
      <c r="AO285" s="141"/>
      <c r="AP285" s="141"/>
      <c r="AQ285" s="141"/>
      <c r="AR285" s="141"/>
      <c r="AS285" s="141"/>
      <c r="AT285" s="141"/>
      <c r="AU285" s="141"/>
      <c r="AV285" s="125"/>
      <c r="AW285" s="7"/>
    </row>
    <row r="286" spans="2:49" ht="3" customHeight="1" thickBot="1" x14ac:dyDescent="0.3">
      <c r="B286" s="9"/>
      <c r="G286" s="69"/>
      <c r="H286" s="69"/>
      <c r="I286" s="69"/>
      <c r="J286" s="69"/>
      <c r="K286" s="69"/>
      <c r="L286" s="69"/>
      <c r="M286" s="69"/>
      <c r="N286" s="69"/>
      <c r="O286" s="69"/>
      <c r="P286" s="69"/>
      <c r="Q286" s="69"/>
      <c r="R286" s="69"/>
      <c r="S286" s="69"/>
      <c r="T286" s="69"/>
      <c r="U286" s="69"/>
      <c r="V286" s="69"/>
      <c r="W286" s="69"/>
      <c r="X286" s="69"/>
      <c r="Y286" s="69"/>
      <c r="Z286" s="69"/>
      <c r="AA286" s="69"/>
      <c r="AB286" s="69"/>
      <c r="AC286" s="69"/>
      <c r="AD286" s="69"/>
      <c r="AE286" s="69"/>
      <c r="AF286" s="69"/>
      <c r="AG286" s="69"/>
      <c r="AH286" s="69"/>
      <c r="AI286" s="69"/>
      <c r="AJ286" s="69"/>
      <c r="AK286" s="69"/>
      <c r="AL286" s="69"/>
      <c r="AM286" s="69"/>
      <c r="AN286" s="69"/>
      <c r="AO286" s="69"/>
      <c r="AP286" s="69"/>
      <c r="AQ286" s="69"/>
      <c r="AR286" s="69"/>
      <c r="AS286" s="69"/>
      <c r="AT286" s="69"/>
      <c r="AU286" s="69"/>
      <c r="AV286" s="69"/>
      <c r="AW286" s="7"/>
    </row>
    <row r="287" spans="2:49" ht="15" customHeight="1" x14ac:dyDescent="0.25">
      <c r="B287" s="9"/>
      <c r="G287" s="124"/>
      <c r="H287" s="141"/>
      <c r="I287" s="141"/>
      <c r="J287" s="141"/>
      <c r="K287" s="141"/>
      <c r="L287" s="141"/>
      <c r="M287" s="141"/>
      <c r="N287" s="141"/>
      <c r="O287" s="141"/>
      <c r="P287" s="141"/>
      <c r="Q287" s="141"/>
      <c r="R287" s="141"/>
      <c r="S287" s="141"/>
      <c r="T287" s="141"/>
      <c r="U287" s="141"/>
      <c r="V287" s="141"/>
      <c r="W287" s="141"/>
      <c r="X287" s="141"/>
      <c r="Y287" s="141"/>
      <c r="Z287" s="141"/>
      <c r="AA287" s="141"/>
      <c r="AB287" s="141"/>
      <c r="AC287" s="141"/>
      <c r="AD287" s="141"/>
      <c r="AE287" s="141"/>
      <c r="AF287" s="141"/>
      <c r="AG287" s="141"/>
      <c r="AH287" s="141"/>
      <c r="AI287" s="141"/>
      <c r="AJ287" s="141"/>
      <c r="AK287" s="141"/>
      <c r="AL287" s="141"/>
      <c r="AM287" s="141"/>
      <c r="AN287" s="141"/>
      <c r="AO287" s="141"/>
      <c r="AP287" s="141"/>
      <c r="AQ287" s="141"/>
      <c r="AR287" s="141"/>
      <c r="AS287" s="141"/>
      <c r="AT287" s="141"/>
      <c r="AU287" s="141"/>
      <c r="AV287" s="125"/>
      <c r="AW287" s="7"/>
    </row>
    <row r="288" spans="2:49" ht="3.95" customHeight="1" x14ac:dyDescent="0.25">
      <c r="B288" s="9"/>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7"/>
    </row>
    <row r="289" spans="2:49" x14ac:dyDescent="0.25">
      <c r="B289" s="33" t="s">
        <v>207</v>
      </c>
      <c r="C289" s="34"/>
      <c r="D289" s="34"/>
      <c r="E289" s="34"/>
      <c r="F289" s="34"/>
      <c r="G289" s="34"/>
      <c r="H289" s="34"/>
      <c r="I289" s="34"/>
      <c r="J289" s="34"/>
      <c r="K289" s="34"/>
      <c r="L289" s="34"/>
      <c r="M289" s="34"/>
      <c r="N289" s="34"/>
      <c r="O289" s="34"/>
      <c r="P289" s="34"/>
      <c r="Q289" s="34"/>
      <c r="R289" s="34"/>
      <c r="S289" s="34"/>
      <c r="T289" s="34"/>
      <c r="V289" s="34" t="s">
        <v>126</v>
      </c>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7"/>
    </row>
    <row r="290" spans="2:49" ht="3.75" customHeight="1" thickBot="1" x14ac:dyDescent="0.3">
      <c r="B290" s="33"/>
      <c r="C290" s="34"/>
      <c r="D290" s="34"/>
      <c r="E290" s="34"/>
      <c r="F290" s="34"/>
      <c r="G290" s="34"/>
      <c r="H290" s="34"/>
      <c r="I290" s="34"/>
      <c r="J290" s="34"/>
      <c r="K290" s="34"/>
      <c r="L290" s="34"/>
      <c r="M290" s="34"/>
      <c r="N290" s="34"/>
      <c r="O290" s="34"/>
      <c r="P290" s="34"/>
      <c r="Q290" s="34"/>
      <c r="R290" s="34"/>
      <c r="S290" s="34"/>
      <c r="T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7"/>
    </row>
    <row r="291" spans="2:49" ht="21" customHeight="1" x14ac:dyDescent="0.25">
      <c r="B291" s="33"/>
      <c r="C291" s="158"/>
      <c r="D291" s="159"/>
      <c r="E291" s="159"/>
      <c r="F291" s="159"/>
      <c r="G291" s="159"/>
      <c r="H291" s="159"/>
      <c r="I291" s="159"/>
      <c r="J291" s="159"/>
      <c r="K291" s="159"/>
      <c r="L291" s="159"/>
      <c r="M291" s="159"/>
      <c r="N291" s="159"/>
      <c r="O291" s="159"/>
      <c r="P291" s="159"/>
      <c r="Q291" s="159"/>
      <c r="R291" s="159"/>
      <c r="S291" s="159"/>
      <c r="T291" s="160"/>
      <c r="V291" s="161"/>
      <c r="W291" s="161"/>
      <c r="X291" s="161"/>
      <c r="Y291" s="161"/>
      <c r="Z291" s="161"/>
      <c r="AA291" s="161"/>
      <c r="AB291" s="161"/>
      <c r="AC291" s="161"/>
      <c r="AD291" s="161"/>
      <c r="AE291" s="161"/>
      <c r="AF291" s="161"/>
      <c r="AG291" s="161"/>
      <c r="AH291" s="161"/>
      <c r="AI291" s="161"/>
      <c r="AJ291" s="161"/>
      <c r="AK291" s="161"/>
      <c r="AL291" s="161"/>
      <c r="AM291" s="161"/>
      <c r="AN291" s="161"/>
      <c r="AO291" s="161"/>
      <c r="AP291" s="161"/>
      <c r="AQ291" s="161"/>
      <c r="AR291" s="161"/>
      <c r="AS291" s="161"/>
      <c r="AT291" s="161"/>
      <c r="AU291" s="161"/>
      <c r="AV291" s="161"/>
      <c r="AW291" s="7"/>
    </row>
    <row r="292" spans="2:49" ht="11.25" customHeight="1" x14ac:dyDescent="0.25">
      <c r="B292" s="10"/>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1"/>
    </row>
    <row r="293" spans="2:49" ht="3" customHeight="1" x14ac:dyDescent="0.25"/>
    <row r="294" spans="2:49" x14ac:dyDescent="0.25">
      <c r="B294" s="185" t="s">
        <v>480</v>
      </c>
      <c r="C294" s="185"/>
      <c r="D294" s="185"/>
      <c r="E294" s="185"/>
      <c r="F294" s="185"/>
      <c r="G294" s="185"/>
      <c r="H294" s="185"/>
      <c r="I294" s="185"/>
      <c r="J294" s="185"/>
      <c r="K294" s="185"/>
      <c r="L294" s="185"/>
      <c r="M294" s="185"/>
      <c r="N294" s="185"/>
      <c r="O294" s="185"/>
      <c r="P294" s="185"/>
      <c r="Q294" s="185"/>
      <c r="R294" s="185"/>
      <c r="S294" s="185"/>
      <c r="T294" s="185"/>
      <c r="U294" s="185"/>
      <c r="V294" s="185"/>
      <c r="W294" s="185"/>
      <c r="X294" s="185"/>
      <c r="Y294" s="185"/>
      <c r="Z294" s="185"/>
      <c r="AA294" s="185"/>
      <c r="AB294" s="185"/>
      <c r="AC294" s="185"/>
      <c r="AD294" s="185"/>
      <c r="AE294" s="185"/>
      <c r="AF294" s="185"/>
      <c r="AG294" s="185"/>
      <c r="AH294" s="185"/>
      <c r="AI294" s="185"/>
      <c r="AJ294" s="185"/>
      <c r="AK294" s="185"/>
      <c r="AL294" s="185"/>
      <c r="AM294" s="185"/>
      <c r="AN294" s="185"/>
      <c r="AO294" s="185"/>
      <c r="AP294" s="185"/>
      <c r="AQ294" s="185"/>
      <c r="AR294" s="185"/>
      <c r="AS294" s="185"/>
      <c r="AT294" s="185"/>
      <c r="AU294" s="185"/>
      <c r="AV294" s="185"/>
      <c r="AW294" s="185"/>
    </row>
    <row r="295" spans="2:49" x14ac:dyDescent="0.25">
      <c r="B295" s="186" t="s">
        <v>406</v>
      </c>
      <c r="C295" s="187"/>
      <c r="D295" s="187"/>
      <c r="E295" s="187"/>
      <c r="F295" s="187"/>
      <c r="G295" s="187"/>
      <c r="H295" s="187"/>
      <c r="I295" s="187"/>
      <c r="J295" s="187"/>
      <c r="K295" s="187"/>
      <c r="L295" s="187"/>
      <c r="M295" s="187"/>
      <c r="N295" s="187"/>
      <c r="O295" s="187"/>
      <c r="P295" s="187"/>
      <c r="Q295" s="187"/>
      <c r="R295" s="187"/>
      <c r="S295" s="187"/>
      <c r="T295" s="187"/>
      <c r="U295" s="187"/>
      <c r="V295" s="187"/>
      <c r="W295" s="187"/>
      <c r="X295" s="187"/>
      <c r="Y295" s="187"/>
      <c r="Z295" s="187"/>
      <c r="AA295" s="187"/>
      <c r="AB295" s="187"/>
      <c r="AC295" s="187"/>
      <c r="AD295" s="187"/>
      <c r="AE295" s="187"/>
      <c r="AF295" s="187"/>
      <c r="AG295" s="187"/>
      <c r="AH295" s="187"/>
      <c r="AI295" s="187"/>
      <c r="AJ295" s="187"/>
      <c r="AK295" s="187"/>
      <c r="AL295" s="187"/>
      <c r="AM295" s="187"/>
      <c r="AN295" s="187"/>
      <c r="AO295" s="187"/>
      <c r="AP295" s="187"/>
      <c r="AQ295" s="187"/>
      <c r="AR295" s="187"/>
      <c r="AS295" s="187"/>
      <c r="AT295" s="187"/>
      <c r="AU295" s="187"/>
      <c r="AV295" s="187"/>
      <c r="AW295" s="7"/>
    </row>
    <row r="296" spans="2:49" ht="15" customHeight="1" x14ac:dyDescent="0.25">
      <c r="B296" s="188" t="s">
        <v>363</v>
      </c>
      <c r="C296" s="189"/>
      <c r="D296" s="189"/>
      <c r="E296" s="189"/>
      <c r="F296" s="189"/>
      <c r="G296" s="189"/>
      <c r="H296" s="189"/>
      <c r="I296" s="189"/>
      <c r="J296" s="189"/>
      <c r="K296" s="189"/>
      <c r="L296" s="189"/>
      <c r="M296" s="189"/>
      <c r="N296" s="189"/>
      <c r="O296" s="189"/>
      <c r="P296" s="189"/>
      <c r="Q296" s="189"/>
      <c r="R296" s="189"/>
      <c r="S296" s="189"/>
      <c r="T296" s="189"/>
      <c r="U296" s="189"/>
      <c r="V296" s="189"/>
      <c r="W296" s="189"/>
      <c r="X296" s="189"/>
      <c r="Y296" s="189"/>
      <c r="Z296" s="189"/>
      <c r="AA296" s="189"/>
      <c r="AB296" s="189"/>
      <c r="AC296" s="189"/>
      <c r="AD296" s="189"/>
      <c r="AE296" s="189"/>
      <c r="AF296" s="189"/>
      <c r="AG296" s="189"/>
      <c r="AH296" s="189"/>
      <c r="AI296" s="189"/>
      <c r="AJ296" s="189"/>
      <c r="AK296" s="189"/>
      <c r="AL296" s="189"/>
      <c r="AM296" s="189"/>
      <c r="AN296" s="189"/>
      <c r="AO296" s="189"/>
      <c r="AP296" s="189"/>
      <c r="AQ296" s="189"/>
      <c r="AR296" s="189"/>
      <c r="AS296" s="189"/>
      <c r="AT296" s="189"/>
      <c r="AU296" s="189"/>
      <c r="AV296" s="189"/>
      <c r="AW296" s="7"/>
    </row>
    <row r="297" spans="2:49" x14ac:dyDescent="0.25">
      <c r="B297" s="188"/>
      <c r="C297" s="189"/>
      <c r="D297" s="189"/>
      <c r="E297" s="189"/>
      <c r="F297" s="189"/>
      <c r="G297" s="189"/>
      <c r="H297" s="189"/>
      <c r="I297" s="189"/>
      <c r="J297" s="189"/>
      <c r="K297" s="189"/>
      <c r="L297" s="189"/>
      <c r="M297" s="189"/>
      <c r="N297" s="189"/>
      <c r="O297" s="189"/>
      <c r="P297" s="189"/>
      <c r="Q297" s="189"/>
      <c r="R297" s="189"/>
      <c r="S297" s="189"/>
      <c r="T297" s="189"/>
      <c r="U297" s="189"/>
      <c r="V297" s="189"/>
      <c r="W297" s="189"/>
      <c r="X297" s="189"/>
      <c r="Y297" s="189"/>
      <c r="Z297" s="189"/>
      <c r="AA297" s="189"/>
      <c r="AB297" s="189"/>
      <c r="AC297" s="189"/>
      <c r="AD297" s="189"/>
      <c r="AE297" s="189"/>
      <c r="AF297" s="189"/>
      <c r="AG297" s="189"/>
      <c r="AH297" s="189"/>
      <c r="AI297" s="189"/>
      <c r="AJ297" s="189"/>
      <c r="AK297" s="189"/>
      <c r="AL297" s="189"/>
      <c r="AM297" s="189"/>
      <c r="AN297" s="189"/>
      <c r="AO297" s="189"/>
      <c r="AP297" s="189"/>
      <c r="AQ297" s="189"/>
      <c r="AR297" s="189"/>
      <c r="AS297" s="189"/>
      <c r="AT297" s="189"/>
      <c r="AU297" s="189"/>
      <c r="AV297" s="189"/>
      <c r="AW297" s="7"/>
    </row>
    <row r="298" spans="2:49" x14ac:dyDescent="0.25">
      <c r="B298" s="270" t="s">
        <v>364</v>
      </c>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c r="AA298" s="271"/>
      <c r="AB298" s="271"/>
      <c r="AC298" s="271"/>
      <c r="AD298" s="271"/>
      <c r="AE298" s="271"/>
      <c r="AF298" s="271"/>
      <c r="AG298" s="271"/>
      <c r="AH298" s="271"/>
      <c r="AI298" s="271"/>
      <c r="AJ298" s="271"/>
      <c r="AK298" s="271"/>
      <c r="AL298" s="271"/>
      <c r="AM298" s="271"/>
      <c r="AN298" s="271"/>
      <c r="AO298" s="271"/>
      <c r="AP298" s="271"/>
      <c r="AQ298" s="271"/>
      <c r="AR298" s="271"/>
      <c r="AS298" s="271"/>
      <c r="AT298" s="271"/>
      <c r="AU298" s="271"/>
      <c r="AV298" s="271"/>
      <c r="AW298" s="7"/>
    </row>
    <row r="299" spans="2:49" ht="3" customHeight="1" x14ac:dyDescent="0.25">
      <c r="B299" s="94"/>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5"/>
      <c r="AT299" s="95"/>
      <c r="AU299" s="95"/>
      <c r="AV299" s="95"/>
      <c r="AW299" s="7"/>
    </row>
    <row r="300" spans="2:49" ht="15" customHeight="1" x14ac:dyDescent="0.25">
      <c r="B300" s="266" t="s">
        <v>398</v>
      </c>
      <c r="C300" s="267"/>
      <c r="D300" s="267"/>
      <c r="E300" s="267"/>
      <c r="F300" s="267"/>
      <c r="G300" s="267"/>
      <c r="H300" s="267"/>
      <c r="I300" s="267"/>
      <c r="J300" s="267"/>
      <c r="K300" s="267"/>
      <c r="L300" s="267"/>
      <c r="M300" s="267"/>
      <c r="N300" s="267"/>
      <c r="O300" s="267"/>
      <c r="P300" s="267"/>
      <c r="Q300" s="267"/>
      <c r="R300" s="267"/>
      <c r="S300" s="267"/>
      <c r="T300" s="267"/>
      <c r="U300" s="267"/>
      <c r="V300" s="267"/>
      <c r="W300" s="267"/>
      <c r="X300" s="267"/>
      <c r="Y300" s="267"/>
      <c r="Z300" s="267"/>
      <c r="AA300" s="267"/>
      <c r="AB300" s="267"/>
      <c r="AC300" s="267"/>
      <c r="AD300" s="267"/>
      <c r="AE300" s="267"/>
      <c r="AF300" s="267"/>
      <c r="AG300" s="267"/>
      <c r="AH300" s="267"/>
      <c r="AI300" s="267"/>
      <c r="AJ300" s="267"/>
      <c r="AK300" s="267"/>
      <c r="AL300" s="267"/>
      <c r="AM300" s="267"/>
      <c r="AN300" s="267"/>
      <c r="AO300" s="267"/>
      <c r="AP300" s="267"/>
      <c r="AQ300" s="267"/>
      <c r="AR300" s="267"/>
      <c r="AS300" s="267"/>
      <c r="AT300" s="267"/>
      <c r="AU300" s="267"/>
      <c r="AV300" s="267"/>
      <c r="AW300" s="7"/>
    </row>
    <row r="301" spans="2:49" x14ac:dyDescent="0.25">
      <c r="B301" s="268"/>
      <c r="C301" s="269"/>
      <c r="D301" s="269"/>
      <c r="E301" s="269"/>
      <c r="F301" s="269"/>
      <c r="G301" s="269"/>
      <c r="H301" s="269"/>
      <c r="I301" s="269"/>
      <c r="J301" s="269"/>
      <c r="K301" s="269"/>
      <c r="L301" s="269"/>
      <c r="M301" s="269"/>
      <c r="N301" s="269"/>
      <c r="O301" s="269"/>
      <c r="P301" s="269"/>
      <c r="Q301" s="269"/>
      <c r="R301" s="269"/>
      <c r="S301" s="269"/>
      <c r="T301" s="269"/>
      <c r="U301" s="269"/>
      <c r="V301" s="269"/>
      <c r="W301" s="269"/>
      <c r="X301" s="269"/>
      <c r="Y301" s="269"/>
      <c r="Z301" s="269"/>
      <c r="AA301" s="269"/>
      <c r="AB301" s="269"/>
      <c r="AC301" s="269"/>
      <c r="AD301" s="269"/>
      <c r="AE301" s="269"/>
      <c r="AF301" s="269"/>
      <c r="AG301" s="269"/>
      <c r="AH301" s="269"/>
      <c r="AI301" s="269"/>
      <c r="AJ301" s="269"/>
      <c r="AK301" s="269"/>
      <c r="AL301" s="269"/>
      <c r="AM301" s="269"/>
      <c r="AN301" s="269"/>
      <c r="AO301" s="269"/>
      <c r="AP301" s="269"/>
      <c r="AQ301" s="269"/>
      <c r="AR301" s="269"/>
      <c r="AS301" s="269"/>
      <c r="AT301" s="269"/>
      <c r="AU301" s="269"/>
      <c r="AV301" s="269"/>
      <c r="AW301" s="7"/>
    </row>
    <row r="302" spans="2:49" ht="30.75" customHeight="1" x14ac:dyDescent="0.25">
      <c r="B302" s="91" t="s">
        <v>263</v>
      </c>
      <c r="C302" s="184" t="s">
        <v>264</v>
      </c>
      <c r="D302" s="184"/>
      <c r="E302" s="184"/>
      <c r="F302" s="184"/>
      <c r="G302" s="184"/>
      <c r="H302" s="184"/>
      <c r="I302" s="184"/>
      <c r="J302" s="184"/>
      <c r="K302" s="184"/>
      <c r="L302" s="184"/>
      <c r="M302" s="184"/>
      <c r="N302" s="184"/>
      <c r="O302" s="183" t="s">
        <v>361</v>
      </c>
      <c r="P302" s="183"/>
      <c r="Q302" s="183"/>
      <c r="R302" s="183" t="s">
        <v>365</v>
      </c>
      <c r="S302" s="183"/>
      <c r="T302" s="183"/>
      <c r="U302" s="183" t="s">
        <v>362</v>
      </c>
      <c r="V302" s="183"/>
      <c r="W302" s="183"/>
      <c r="X302" s="183"/>
      <c r="Y302" s="183"/>
      <c r="Z302" s="183"/>
      <c r="AA302" s="183"/>
      <c r="AB302" s="183"/>
      <c r="AC302" s="183"/>
      <c r="AD302" s="183"/>
      <c r="AE302" s="183" t="s">
        <v>366</v>
      </c>
      <c r="AF302" s="183"/>
      <c r="AG302" s="183"/>
      <c r="AH302" s="183"/>
      <c r="AI302" s="183"/>
      <c r="AJ302" s="183"/>
      <c r="AK302" s="183"/>
      <c r="AL302" s="184" t="s">
        <v>265</v>
      </c>
      <c r="AM302" s="184"/>
      <c r="AN302" s="184"/>
      <c r="AO302" s="184"/>
      <c r="AP302" s="184"/>
      <c r="AQ302" s="184" t="s">
        <v>266</v>
      </c>
      <c r="AR302" s="184"/>
      <c r="AS302" s="184"/>
      <c r="AT302" s="184"/>
      <c r="AU302" s="184"/>
      <c r="AV302" s="184"/>
      <c r="AW302" s="7"/>
    </row>
    <row r="303" spans="2:49" x14ac:dyDescent="0.25">
      <c r="B303" s="92">
        <v>1</v>
      </c>
      <c r="C303" s="155" t="s">
        <v>392</v>
      </c>
      <c r="D303" s="156"/>
      <c r="E303" s="156"/>
      <c r="F303" s="156"/>
      <c r="G303" s="156"/>
      <c r="H303" s="156"/>
      <c r="I303" s="156"/>
      <c r="J303" s="156"/>
      <c r="K303" s="156"/>
      <c r="L303" s="156"/>
      <c r="M303" s="156"/>
      <c r="N303" s="157"/>
      <c r="O303" s="181"/>
      <c r="P303" s="181"/>
      <c r="Q303" s="181"/>
      <c r="R303" s="181"/>
      <c r="S303" s="181"/>
      <c r="T303" s="181"/>
      <c r="U303" s="181"/>
      <c r="V303" s="181"/>
      <c r="W303" s="181"/>
      <c r="X303" s="181"/>
      <c r="Y303" s="181"/>
      <c r="Z303" s="181"/>
      <c r="AA303" s="181"/>
      <c r="AB303" s="181"/>
      <c r="AC303" s="181"/>
      <c r="AD303" s="181"/>
      <c r="AE303" s="181"/>
      <c r="AF303" s="181"/>
      <c r="AG303" s="181"/>
      <c r="AH303" s="181"/>
      <c r="AI303" s="181"/>
      <c r="AJ303" s="181"/>
      <c r="AK303" s="181"/>
      <c r="AL303" s="181"/>
      <c r="AM303" s="181"/>
      <c r="AN303" s="181"/>
      <c r="AO303" s="181"/>
      <c r="AP303" s="181"/>
      <c r="AQ303" s="155" t="str">
        <f>IF(AL303=0,"",AE303*AL303)</f>
        <v/>
      </c>
      <c r="AR303" s="156"/>
      <c r="AS303" s="156"/>
      <c r="AT303" s="156"/>
      <c r="AU303" s="156"/>
      <c r="AV303" s="157"/>
      <c r="AW303" s="7"/>
    </row>
    <row r="304" spans="2:49" x14ac:dyDescent="0.25">
      <c r="B304" s="92">
        <v>2</v>
      </c>
      <c r="C304" s="181"/>
      <c r="D304" s="181"/>
      <c r="E304" s="181"/>
      <c r="F304" s="181"/>
      <c r="G304" s="181"/>
      <c r="H304" s="181"/>
      <c r="I304" s="181"/>
      <c r="J304" s="181"/>
      <c r="K304" s="181"/>
      <c r="L304" s="181"/>
      <c r="M304" s="181"/>
      <c r="N304" s="181"/>
      <c r="O304" s="181"/>
      <c r="P304" s="181"/>
      <c r="Q304" s="181"/>
      <c r="R304" s="181"/>
      <c r="S304" s="181"/>
      <c r="T304" s="181"/>
      <c r="U304" s="181"/>
      <c r="V304" s="181"/>
      <c r="W304" s="181"/>
      <c r="X304" s="181"/>
      <c r="Y304" s="181"/>
      <c r="Z304" s="181"/>
      <c r="AA304" s="181"/>
      <c r="AB304" s="181"/>
      <c r="AC304" s="181"/>
      <c r="AD304" s="181"/>
      <c r="AE304" s="181"/>
      <c r="AF304" s="181"/>
      <c r="AG304" s="181"/>
      <c r="AH304" s="181"/>
      <c r="AI304" s="181"/>
      <c r="AJ304" s="181"/>
      <c r="AK304" s="181"/>
      <c r="AL304" s="181"/>
      <c r="AM304" s="181"/>
      <c r="AN304" s="181"/>
      <c r="AO304" s="181"/>
      <c r="AP304" s="181"/>
      <c r="AQ304" s="155" t="str">
        <f t="shared" ref="AQ304:AQ332" si="0">IF(AL304=0,"",AE304*AL304)</f>
        <v/>
      </c>
      <c r="AR304" s="156"/>
      <c r="AS304" s="156"/>
      <c r="AT304" s="156"/>
      <c r="AU304" s="156"/>
      <c r="AV304" s="157"/>
      <c r="AW304" s="7"/>
    </row>
    <row r="305" spans="2:49" x14ac:dyDescent="0.25">
      <c r="B305" s="92">
        <v>3</v>
      </c>
      <c r="C305" s="181"/>
      <c r="D305" s="181"/>
      <c r="E305" s="181"/>
      <c r="F305" s="181"/>
      <c r="G305" s="181"/>
      <c r="H305" s="181"/>
      <c r="I305" s="181"/>
      <c r="J305" s="181"/>
      <c r="K305" s="181"/>
      <c r="L305" s="181"/>
      <c r="M305" s="181"/>
      <c r="N305" s="181"/>
      <c r="O305" s="181"/>
      <c r="P305" s="181"/>
      <c r="Q305" s="181"/>
      <c r="R305" s="181"/>
      <c r="S305" s="181"/>
      <c r="T305" s="181"/>
      <c r="U305" s="181"/>
      <c r="V305" s="181"/>
      <c r="W305" s="181"/>
      <c r="X305" s="181"/>
      <c r="Y305" s="181"/>
      <c r="Z305" s="181"/>
      <c r="AA305" s="181"/>
      <c r="AB305" s="181"/>
      <c r="AC305" s="181"/>
      <c r="AD305" s="181"/>
      <c r="AE305" s="181"/>
      <c r="AF305" s="181"/>
      <c r="AG305" s="181"/>
      <c r="AH305" s="181"/>
      <c r="AI305" s="181"/>
      <c r="AJ305" s="181"/>
      <c r="AK305" s="181"/>
      <c r="AL305" s="181"/>
      <c r="AM305" s="181"/>
      <c r="AN305" s="181"/>
      <c r="AO305" s="181"/>
      <c r="AP305" s="181"/>
      <c r="AQ305" s="155" t="str">
        <f t="shared" si="0"/>
        <v/>
      </c>
      <c r="AR305" s="156"/>
      <c r="AS305" s="156"/>
      <c r="AT305" s="156"/>
      <c r="AU305" s="156"/>
      <c r="AV305" s="157"/>
      <c r="AW305" s="7"/>
    </row>
    <row r="306" spans="2:49" x14ac:dyDescent="0.25">
      <c r="B306" s="92">
        <v>4</v>
      </c>
      <c r="C306" s="181"/>
      <c r="D306" s="181"/>
      <c r="E306" s="181"/>
      <c r="F306" s="181"/>
      <c r="G306" s="181"/>
      <c r="H306" s="181"/>
      <c r="I306" s="181"/>
      <c r="J306" s="181"/>
      <c r="K306" s="181"/>
      <c r="L306" s="181"/>
      <c r="M306" s="181"/>
      <c r="N306" s="181"/>
      <c r="O306" s="181"/>
      <c r="P306" s="181"/>
      <c r="Q306" s="181"/>
      <c r="R306" s="181"/>
      <c r="S306" s="181"/>
      <c r="T306" s="181"/>
      <c r="U306" s="181"/>
      <c r="V306" s="181"/>
      <c r="W306" s="181"/>
      <c r="X306" s="181"/>
      <c r="Y306" s="181"/>
      <c r="Z306" s="181"/>
      <c r="AA306" s="181"/>
      <c r="AB306" s="181"/>
      <c r="AC306" s="181"/>
      <c r="AD306" s="181"/>
      <c r="AE306" s="181"/>
      <c r="AF306" s="181"/>
      <c r="AG306" s="181"/>
      <c r="AH306" s="181"/>
      <c r="AI306" s="181"/>
      <c r="AJ306" s="181"/>
      <c r="AK306" s="181"/>
      <c r="AL306" s="181"/>
      <c r="AM306" s="181"/>
      <c r="AN306" s="181"/>
      <c r="AO306" s="181"/>
      <c r="AP306" s="181"/>
      <c r="AQ306" s="155" t="str">
        <f t="shared" si="0"/>
        <v/>
      </c>
      <c r="AR306" s="156"/>
      <c r="AS306" s="156"/>
      <c r="AT306" s="156"/>
      <c r="AU306" s="156"/>
      <c r="AV306" s="157"/>
      <c r="AW306" s="7"/>
    </row>
    <row r="307" spans="2:49" x14ac:dyDescent="0.25">
      <c r="B307" s="92">
        <v>5</v>
      </c>
      <c r="C307" s="181"/>
      <c r="D307" s="181"/>
      <c r="E307" s="181"/>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55" t="str">
        <f t="shared" si="0"/>
        <v/>
      </c>
      <c r="AR307" s="156"/>
      <c r="AS307" s="156"/>
      <c r="AT307" s="156"/>
      <c r="AU307" s="156"/>
      <c r="AV307" s="157"/>
      <c r="AW307" s="7"/>
    </row>
    <row r="308" spans="2:49" x14ac:dyDescent="0.25">
      <c r="B308" s="92">
        <v>6</v>
      </c>
      <c r="C308" s="181"/>
      <c r="D308" s="181"/>
      <c r="E308" s="181"/>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55" t="str">
        <f t="shared" si="0"/>
        <v/>
      </c>
      <c r="AR308" s="156"/>
      <c r="AS308" s="156"/>
      <c r="AT308" s="156"/>
      <c r="AU308" s="156"/>
      <c r="AV308" s="157"/>
      <c r="AW308" s="7"/>
    </row>
    <row r="309" spans="2:49" x14ac:dyDescent="0.25">
      <c r="B309" s="92">
        <v>7</v>
      </c>
      <c r="C309" s="181"/>
      <c r="D309" s="181"/>
      <c r="E309" s="181"/>
      <c r="F309" s="181"/>
      <c r="G309" s="181"/>
      <c r="H309" s="181"/>
      <c r="I309" s="181"/>
      <c r="J309" s="181"/>
      <c r="K309" s="181"/>
      <c r="L309" s="181"/>
      <c r="M309" s="181"/>
      <c r="N309" s="181"/>
      <c r="O309" s="181"/>
      <c r="P309" s="181"/>
      <c r="Q309" s="181"/>
      <c r="R309" s="181"/>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1"/>
      <c r="AP309" s="181"/>
      <c r="AQ309" s="155" t="str">
        <f t="shared" si="0"/>
        <v/>
      </c>
      <c r="AR309" s="156"/>
      <c r="AS309" s="156"/>
      <c r="AT309" s="156"/>
      <c r="AU309" s="156"/>
      <c r="AV309" s="157"/>
      <c r="AW309" s="7"/>
    </row>
    <row r="310" spans="2:49" x14ac:dyDescent="0.25">
      <c r="B310" s="92">
        <v>8</v>
      </c>
      <c r="C310" s="181"/>
      <c r="D310" s="181"/>
      <c r="E310" s="181"/>
      <c r="F310" s="181"/>
      <c r="G310" s="181"/>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55" t="str">
        <f t="shared" si="0"/>
        <v/>
      </c>
      <c r="AR310" s="156"/>
      <c r="AS310" s="156"/>
      <c r="AT310" s="156"/>
      <c r="AU310" s="156"/>
      <c r="AV310" s="157"/>
      <c r="AW310" s="7"/>
    </row>
    <row r="311" spans="2:49" x14ac:dyDescent="0.25">
      <c r="B311" s="92">
        <v>9</v>
      </c>
      <c r="C311" s="181"/>
      <c r="D311" s="181"/>
      <c r="E311" s="181"/>
      <c r="F311" s="181"/>
      <c r="G311" s="181"/>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55" t="str">
        <f t="shared" si="0"/>
        <v/>
      </c>
      <c r="AR311" s="156"/>
      <c r="AS311" s="156"/>
      <c r="AT311" s="156"/>
      <c r="AU311" s="156"/>
      <c r="AV311" s="157"/>
      <c r="AW311" s="7"/>
    </row>
    <row r="312" spans="2:49" x14ac:dyDescent="0.25">
      <c r="B312" s="92">
        <v>10</v>
      </c>
      <c r="C312" s="181"/>
      <c r="D312" s="181"/>
      <c r="E312" s="181"/>
      <c r="F312" s="181"/>
      <c r="G312" s="181"/>
      <c r="H312" s="181"/>
      <c r="I312" s="181"/>
      <c r="J312" s="181"/>
      <c r="K312" s="181"/>
      <c r="L312" s="181"/>
      <c r="M312" s="181"/>
      <c r="N312" s="181"/>
      <c r="O312" s="181"/>
      <c r="P312" s="181"/>
      <c r="Q312" s="181"/>
      <c r="R312" s="181"/>
      <c r="S312" s="181"/>
      <c r="T312" s="181"/>
      <c r="U312" s="181"/>
      <c r="V312" s="181"/>
      <c r="W312" s="181"/>
      <c r="X312" s="181"/>
      <c r="Y312" s="181"/>
      <c r="Z312" s="181"/>
      <c r="AA312" s="181"/>
      <c r="AB312" s="181"/>
      <c r="AC312" s="181"/>
      <c r="AD312" s="181"/>
      <c r="AE312" s="181"/>
      <c r="AF312" s="181"/>
      <c r="AG312" s="181"/>
      <c r="AH312" s="181"/>
      <c r="AI312" s="181"/>
      <c r="AJ312" s="181"/>
      <c r="AK312" s="181"/>
      <c r="AL312" s="181"/>
      <c r="AM312" s="181"/>
      <c r="AN312" s="181"/>
      <c r="AO312" s="181"/>
      <c r="AP312" s="181"/>
      <c r="AQ312" s="155" t="str">
        <f t="shared" si="0"/>
        <v/>
      </c>
      <c r="AR312" s="156"/>
      <c r="AS312" s="156"/>
      <c r="AT312" s="156"/>
      <c r="AU312" s="156"/>
      <c r="AV312" s="157"/>
      <c r="AW312" s="7"/>
    </row>
    <row r="313" spans="2:49" x14ac:dyDescent="0.25">
      <c r="B313" s="92">
        <v>11</v>
      </c>
      <c r="C313" s="181"/>
      <c r="D313" s="181"/>
      <c r="E313" s="181"/>
      <c r="F313" s="181"/>
      <c r="G313" s="181"/>
      <c r="H313" s="181"/>
      <c r="I313" s="181"/>
      <c r="J313" s="181"/>
      <c r="K313" s="181"/>
      <c r="L313" s="181"/>
      <c r="M313" s="181"/>
      <c r="N313" s="181"/>
      <c r="O313" s="181"/>
      <c r="P313" s="181"/>
      <c r="Q313" s="181"/>
      <c r="R313" s="181"/>
      <c r="S313" s="181"/>
      <c r="T313" s="181"/>
      <c r="U313" s="181"/>
      <c r="V313" s="181"/>
      <c r="W313" s="181"/>
      <c r="X313" s="181"/>
      <c r="Y313" s="181"/>
      <c r="Z313" s="181"/>
      <c r="AA313" s="181"/>
      <c r="AB313" s="181"/>
      <c r="AC313" s="181"/>
      <c r="AD313" s="181"/>
      <c r="AE313" s="181"/>
      <c r="AF313" s="181"/>
      <c r="AG313" s="181"/>
      <c r="AH313" s="181"/>
      <c r="AI313" s="181"/>
      <c r="AJ313" s="181"/>
      <c r="AK313" s="181"/>
      <c r="AL313" s="181"/>
      <c r="AM313" s="181"/>
      <c r="AN313" s="181"/>
      <c r="AO313" s="181"/>
      <c r="AP313" s="181"/>
      <c r="AQ313" s="155" t="str">
        <f t="shared" si="0"/>
        <v/>
      </c>
      <c r="AR313" s="156"/>
      <c r="AS313" s="156"/>
      <c r="AT313" s="156"/>
      <c r="AU313" s="156"/>
      <c r="AV313" s="157"/>
      <c r="AW313" s="7"/>
    </row>
    <row r="314" spans="2:49" x14ac:dyDescent="0.25">
      <c r="B314" s="92">
        <v>12</v>
      </c>
      <c r="C314" s="181"/>
      <c r="D314" s="181"/>
      <c r="E314" s="181"/>
      <c r="F314" s="181"/>
      <c r="G314" s="181"/>
      <c r="H314" s="181"/>
      <c r="I314" s="181"/>
      <c r="J314" s="181"/>
      <c r="K314" s="181"/>
      <c r="L314" s="181"/>
      <c r="M314" s="181"/>
      <c r="N314" s="181"/>
      <c r="O314" s="181"/>
      <c r="P314" s="18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55" t="str">
        <f t="shared" si="0"/>
        <v/>
      </c>
      <c r="AR314" s="156"/>
      <c r="AS314" s="156"/>
      <c r="AT314" s="156"/>
      <c r="AU314" s="156"/>
      <c r="AV314" s="157"/>
      <c r="AW314" s="7"/>
    </row>
    <row r="315" spans="2:49" x14ac:dyDescent="0.25">
      <c r="B315" s="92">
        <v>13</v>
      </c>
      <c r="C315" s="181"/>
      <c r="D315" s="181"/>
      <c r="E315" s="181"/>
      <c r="F315" s="181"/>
      <c r="G315" s="181"/>
      <c r="H315" s="181"/>
      <c r="I315" s="181"/>
      <c r="J315" s="181"/>
      <c r="K315" s="181"/>
      <c r="L315" s="181"/>
      <c r="M315" s="181"/>
      <c r="N315" s="181"/>
      <c r="O315" s="181"/>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55" t="str">
        <f t="shared" si="0"/>
        <v/>
      </c>
      <c r="AR315" s="156"/>
      <c r="AS315" s="156"/>
      <c r="AT315" s="156"/>
      <c r="AU315" s="156"/>
      <c r="AV315" s="157"/>
      <c r="AW315" s="7"/>
    </row>
    <row r="316" spans="2:49" x14ac:dyDescent="0.25">
      <c r="B316" s="92">
        <v>14</v>
      </c>
      <c r="C316" s="181"/>
      <c r="D316" s="181"/>
      <c r="E316" s="181"/>
      <c r="F316" s="181"/>
      <c r="G316" s="181"/>
      <c r="H316" s="181"/>
      <c r="I316" s="181"/>
      <c r="J316" s="181"/>
      <c r="K316" s="181"/>
      <c r="L316" s="181"/>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55" t="str">
        <f t="shared" si="0"/>
        <v/>
      </c>
      <c r="AR316" s="156"/>
      <c r="AS316" s="156"/>
      <c r="AT316" s="156"/>
      <c r="AU316" s="156"/>
      <c r="AV316" s="157"/>
      <c r="AW316" s="7"/>
    </row>
    <row r="317" spans="2:49" x14ac:dyDescent="0.25">
      <c r="B317" s="92">
        <v>15</v>
      </c>
      <c r="C317" s="181"/>
      <c r="D317" s="181"/>
      <c r="E317" s="181"/>
      <c r="F317" s="181"/>
      <c r="G317" s="181"/>
      <c r="H317" s="181"/>
      <c r="I317" s="181"/>
      <c r="J317" s="181"/>
      <c r="K317" s="181"/>
      <c r="L317" s="181"/>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55" t="str">
        <f t="shared" si="0"/>
        <v/>
      </c>
      <c r="AR317" s="156"/>
      <c r="AS317" s="156"/>
      <c r="AT317" s="156"/>
      <c r="AU317" s="156"/>
      <c r="AV317" s="157"/>
      <c r="AW317" s="7"/>
    </row>
    <row r="318" spans="2:49" x14ac:dyDescent="0.25">
      <c r="B318" s="92">
        <v>16</v>
      </c>
      <c r="C318" s="181"/>
      <c r="D318" s="181"/>
      <c r="E318" s="181"/>
      <c r="F318" s="181"/>
      <c r="G318" s="181"/>
      <c r="H318" s="181"/>
      <c r="I318" s="181"/>
      <c r="J318" s="181"/>
      <c r="K318" s="181"/>
      <c r="L318" s="181"/>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55" t="str">
        <f t="shared" si="0"/>
        <v/>
      </c>
      <c r="AR318" s="156"/>
      <c r="AS318" s="156"/>
      <c r="AT318" s="156"/>
      <c r="AU318" s="156"/>
      <c r="AV318" s="157"/>
      <c r="AW318" s="7"/>
    </row>
    <row r="319" spans="2:49" x14ac:dyDescent="0.25">
      <c r="B319" s="92">
        <v>17</v>
      </c>
      <c r="C319" s="181"/>
      <c r="D319" s="181"/>
      <c r="E319" s="181"/>
      <c r="F319" s="181"/>
      <c r="G319" s="181"/>
      <c r="H319" s="181"/>
      <c r="I319" s="181"/>
      <c r="J319" s="181"/>
      <c r="K319" s="181"/>
      <c r="L319" s="181"/>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55" t="str">
        <f t="shared" si="0"/>
        <v/>
      </c>
      <c r="AR319" s="156"/>
      <c r="AS319" s="156"/>
      <c r="AT319" s="156"/>
      <c r="AU319" s="156"/>
      <c r="AV319" s="157"/>
      <c r="AW319" s="7"/>
    </row>
    <row r="320" spans="2:49" x14ac:dyDescent="0.25">
      <c r="B320" s="92">
        <v>18</v>
      </c>
      <c r="C320" s="181"/>
      <c r="D320" s="181"/>
      <c r="E320" s="181"/>
      <c r="F320" s="181"/>
      <c r="G320" s="181"/>
      <c r="H320" s="181"/>
      <c r="I320" s="181"/>
      <c r="J320" s="181"/>
      <c r="K320" s="181"/>
      <c r="L320" s="181"/>
      <c r="M320" s="181"/>
      <c r="N320" s="181"/>
      <c r="O320" s="181"/>
      <c r="P320" s="181"/>
      <c r="Q320" s="181"/>
      <c r="R320" s="181"/>
      <c r="S320" s="181"/>
      <c r="T320" s="181"/>
      <c r="U320" s="181"/>
      <c r="V320" s="181"/>
      <c r="W320" s="181"/>
      <c r="X320" s="181"/>
      <c r="Y320" s="181"/>
      <c r="Z320" s="181"/>
      <c r="AA320" s="181"/>
      <c r="AB320" s="181"/>
      <c r="AC320" s="181"/>
      <c r="AD320" s="181"/>
      <c r="AE320" s="181"/>
      <c r="AF320" s="181"/>
      <c r="AG320" s="181"/>
      <c r="AH320" s="181"/>
      <c r="AI320" s="181"/>
      <c r="AJ320" s="181"/>
      <c r="AK320" s="181"/>
      <c r="AL320" s="181"/>
      <c r="AM320" s="181"/>
      <c r="AN320" s="181"/>
      <c r="AO320" s="181"/>
      <c r="AP320" s="181"/>
      <c r="AQ320" s="155" t="str">
        <f t="shared" si="0"/>
        <v/>
      </c>
      <c r="AR320" s="156"/>
      <c r="AS320" s="156"/>
      <c r="AT320" s="156"/>
      <c r="AU320" s="156"/>
      <c r="AV320" s="157"/>
      <c r="AW320" s="7"/>
    </row>
    <row r="321" spans="2:49" x14ac:dyDescent="0.25">
      <c r="B321" s="92">
        <v>19</v>
      </c>
      <c r="C321" s="181"/>
      <c r="D321" s="181"/>
      <c r="E321" s="181"/>
      <c r="F321" s="181"/>
      <c r="G321" s="181"/>
      <c r="H321" s="181"/>
      <c r="I321" s="181"/>
      <c r="J321" s="181"/>
      <c r="K321" s="181"/>
      <c r="L321" s="181"/>
      <c r="M321" s="181"/>
      <c r="N321" s="181"/>
      <c r="O321" s="181"/>
      <c r="P321" s="181"/>
      <c r="Q321" s="181"/>
      <c r="R321" s="181"/>
      <c r="S321" s="181"/>
      <c r="T321" s="181"/>
      <c r="U321" s="181"/>
      <c r="V321" s="181"/>
      <c r="W321" s="181"/>
      <c r="X321" s="181"/>
      <c r="Y321" s="181"/>
      <c r="Z321" s="181"/>
      <c r="AA321" s="181"/>
      <c r="AB321" s="181"/>
      <c r="AC321" s="181"/>
      <c r="AD321" s="181"/>
      <c r="AE321" s="181"/>
      <c r="AF321" s="181"/>
      <c r="AG321" s="181"/>
      <c r="AH321" s="181"/>
      <c r="AI321" s="181"/>
      <c r="AJ321" s="181"/>
      <c r="AK321" s="181"/>
      <c r="AL321" s="181"/>
      <c r="AM321" s="181"/>
      <c r="AN321" s="181"/>
      <c r="AO321" s="181"/>
      <c r="AP321" s="181"/>
      <c r="AQ321" s="155" t="str">
        <f t="shared" si="0"/>
        <v/>
      </c>
      <c r="AR321" s="156"/>
      <c r="AS321" s="156"/>
      <c r="AT321" s="156"/>
      <c r="AU321" s="156"/>
      <c r="AV321" s="157"/>
      <c r="AW321" s="7"/>
    </row>
    <row r="322" spans="2:49" x14ac:dyDescent="0.25">
      <c r="B322" s="92">
        <v>20</v>
      </c>
      <c r="C322" s="181"/>
      <c r="D322" s="181"/>
      <c r="E322" s="181"/>
      <c r="F322" s="181"/>
      <c r="G322" s="181"/>
      <c r="H322" s="181"/>
      <c r="I322" s="181"/>
      <c r="J322" s="181"/>
      <c r="K322" s="181"/>
      <c r="L322" s="181"/>
      <c r="M322" s="181"/>
      <c r="N322" s="181"/>
      <c r="O322" s="181"/>
      <c r="P322" s="181"/>
      <c r="Q322" s="181"/>
      <c r="R322" s="181"/>
      <c r="S322" s="181"/>
      <c r="T322" s="181"/>
      <c r="U322" s="181"/>
      <c r="V322" s="181"/>
      <c r="W322" s="181"/>
      <c r="X322" s="181"/>
      <c r="Y322" s="181"/>
      <c r="Z322" s="181"/>
      <c r="AA322" s="181"/>
      <c r="AB322" s="181"/>
      <c r="AC322" s="181"/>
      <c r="AD322" s="181"/>
      <c r="AE322" s="181"/>
      <c r="AF322" s="181"/>
      <c r="AG322" s="181"/>
      <c r="AH322" s="181"/>
      <c r="AI322" s="181"/>
      <c r="AJ322" s="181"/>
      <c r="AK322" s="181"/>
      <c r="AL322" s="181"/>
      <c r="AM322" s="181"/>
      <c r="AN322" s="181"/>
      <c r="AO322" s="181"/>
      <c r="AP322" s="181"/>
      <c r="AQ322" s="155" t="str">
        <f t="shared" si="0"/>
        <v/>
      </c>
      <c r="AR322" s="156"/>
      <c r="AS322" s="156"/>
      <c r="AT322" s="156"/>
      <c r="AU322" s="156"/>
      <c r="AV322" s="157"/>
      <c r="AW322" s="7"/>
    </row>
    <row r="323" spans="2:49" x14ac:dyDescent="0.25">
      <c r="B323" s="92">
        <v>21</v>
      </c>
      <c r="C323" s="181"/>
      <c r="D323" s="181"/>
      <c r="E323" s="181"/>
      <c r="F323" s="181"/>
      <c r="G323" s="181"/>
      <c r="H323" s="181"/>
      <c r="I323" s="181"/>
      <c r="J323" s="181"/>
      <c r="K323" s="181"/>
      <c r="L323" s="181"/>
      <c r="M323" s="181"/>
      <c r="N323" s="181"/>
      <c r="O323" s="181"/>
      <c r="P323" s="181"/>
      <c r="Q323" s="181"/>
      <c r="R323" s="181"/>
      <c r="S323" s="181"/>
      <c r="T323" s="181"/>
      <c r="U323" s="181"/>
      <c r="V323" s="181"/>
      <c r="W323" s="181"/>
      <c r="X323" s="181"/>
      <c r="Y323" s="181"/>
      <c r="Z323" s="181"/>
      <c r="AA323" s="181"/>
      <c r="AB323" s="181"/>
      <c r="AC323" s="181"/>
      <c r="AD323" s="181"/>
      <c r="AE323" s="181"/>
      <c r="AF323" s="181"/>
      <c r="AG323" s="181"/>
      <c r="AH323" s="181"/>
      <c r="AI323" s="181"/>
      <c r="AJ323" s="181"/>
      <c r="AK323" s="181"/>
      <c r="AL323" s="181"/>
      <c r="AM323" s="181"/>
      <c r="AN323" s="181"/>
      <c r="AO323" s="181"/>
      <c r="AP323" s="181"/>
      <c r="AQ323" s="155" t="str">
        <f t="shared" si="0"/>
        <v/>
      </c>
      <c r="AR323" s="156"/>
      <c r="AS323" s="156"/>
      <c r="AT323" s="156"/>
      <c r="AU323" s="156"/>
      <c r="AV323" s="157"/>
      <c r="AW323" s="7"/>
    </row>
    <row r="324" spans="2:49" x14ac:dyDescent="0.25">
      <c r="B324" s="92">
        <v>22</v>
      </c>
      <c r="C324" s="181"/>
      <c r="D324" s="181"/>
      <c r="E324" s="181"/>
      <c r="F324" s="181"/>
      <c r="G324" s="181"/>
      <c r="H324" s="181"/>
      <c r="I324" s="181"/>
      <c r="J324" s="181"/>
      <c r="K324" s="181"/>
      <c r="L324" s="181"/>
      <c r="M324" s="181"/>
      <c r="N324" s="181"/>
      <c r="O324" s="181"/>
      <c r="P324" s="181"/>
      <c r="Q324" s="181"/>
      <c r="R324" s="181"/>
      <c r="S324" s="181"/>
      <c r="T324" s="181"/>
      <c r="U324" s="181"/>
      <c r="V324" s="181"/>
      <c r="W324" s="181"/>
      <c r="X324" s="181"/>
      <c r="Y324" s="181"/>
      <c r="Z324" s="181"/>
      <c r="AA324" s="181"/>
      <c r="AB324" s="181"/>
      <c r="AC324" s="181"/>
      <c r="AD324" s="181"/>
      <c r="AE324" s="181"/>
      <c r="AF324" s="181"/>
      <c r="AG324" s="181"/>
      <c r="AH324" s="181"/>
      <c r="AI324" s="181"/>
      <c r="AJ324" s="181"/>
      <c r="AK324" s="181"/>
      <c r="AL324" s="181"/>
      <c r="AM324" s="181"/>
      <c r="AN324" s="181"/>
      <c r="AO324" s="181"/>
      <c r="AP324" s="181"/>
      <c r="AQ324" s="155" t="str">
        <f t="shared" si="0"/>
        <v/>
      </c>
      <c r="AR324" s="156"/>
      <c r="AS324" s="156"/>
      <c r="AT324" s="156"/>
      <c r="AU324" s="156"/>
      <c r="AV324" s="157"/>
      <c r="AW324" s="7"/>
    </row>
    <row r="325" spans="2:49" x14ac:dyDescent="0.25">
      <c r="B325" s="92">
        <v>23</v>
      </c>
      <c r="C325" s="181"/>
      <c r="D325" s="181"/>
      <c r="E325" s="181"/>
      <c r="F325" s="181"/>
      <c r="G325" s="181"/>
      <c r="H325" s="181"/>
      <c r="I325" s="181"/>
      <c r="J325" s="181"/>
      <c r="K325" s="181"/>
      <c r="L325" s="181"/>
      <c r="M325" s="181"/>
      <c r="N325" s="181"/>
      <c r="O325" s="181"/>
      <c r="P325" s="181"/>
      <c r="Q325" s="181"/>
      <c r="R325" s="181"/>
      <c r="S325" s="181"/>
      <c r="T325" s="181"/>
      <c r="U325" s="181"/>
      <c r="V325" s="181"/>
      <c r="W325" s="181"/>
      <c r="X325" s="181"/>
      <c r="Y325" s="181"/>
      <c r="Z325" s="181"/>
      <c r="AA325" s="181"/>
      <c r="AB325" s="181"/>
      <c r="AC325" s="181"/>
      <c r="AD325" s="181"/>
      <c r="AE325" s="181"/>
      <c r="AF325" s="181"/>
      <c r="AG325" s="181"/>
      <c r="AH325" s="181"/>
      <c r="AI325" s="181"/>
      <c r="AJ325" s="181"/>
      <c r="AK325" s="181"/>
      <c r="AL325" s="181"/>
      <c r="AM325" s="181"/>
      <c r="AN325" s="181"/>
      <c r="AO325" s="181"/>
      <c r="AP325" s="181"/>
      <c r="AQ325" s="155" t="str">
        <f t="shared" si="0"/>
        <v/>
      </c>
      <c r="AR325" s="156"/>
      <c r="AS325" s="156"/>
      <c r="AT325" s="156"/>
      <c r="AU325" s="156"/>
      <c r="AV325" s="157"/>
      <c r="AW325" s="7"/>
    </row>
    <row r="326" spans="2:49" x14ac:dyDescent="0.25">
      <c r="B326" s="92">
        <v>24</v>
      </c>
      <c r="C326" s="181"/>
      <c r="D326" s="181"/>
      <c r="E326" s="181"/>
      <c r="F326" s="181"/>
      <c r="G326" s="181"/>
      <c r="H326" s="181"/>
      <c r="I326" s="181"/>
      <c r="J326" s="181"/>
      <c r="K326" s="181"/>
      <c r="L326" s="181"/>
      <c r="M326" s="181"/>
      <c r="N326" s="181"/>
      <c r="O326" s="181"/>
      <c r="P326" s="181"/>
      <c r="Q326" s="181"/>
      <c r="R326" s="181"/>
      <c r="S326" s="181"/>
      <c r="T326" s="181"/>
      <c r="U326" s="181"/>
      <c r="V326" s="181"/>
      <c r="W326" s="181"/>
      <c r="X326" s="181"/>
      <c r="Y326" s="181"/>
      <c r="Z326" s="181"/>
      <c r="AA326" s="181"/>
      <c r="AB326" s="181"/>
      <c r="AC326" s="181"/>
      <c r="AD326" s="181"/>
      <c r="AE326" s="181"/>
      <c r="AF326" s="181"/>
      <c r="AG326" s="181"/>
      <c r="AH326" s="181"/>
      <c r="AI326" s="181"/>
      <c r="AJ326" s="181"/>
      <c r="AK326" s="181"/>
      <c r="AL326" s="181"/>
      <c r="AM326" s="181"/>
      <c r="AN326" s="181"/>
      <c r="AO326" s="181"/>
      <c r="AP326" s="181"/>
      <c r="AQ326" s="155" t="str">
        <f t="shared" si="0"/>
        <v/>
      </c>
      <c r="AR326" s="156"/>
      <c r="AS326" s="156"/>
      <c r="AT326" s="156"/>
      <c r="AU326" s="156"/>
      <c r="AV326" s="157"/>
      <c r="AW326" s="7"/>
    </row>
    <row r="327" spans="2:49" x14ac:dyDescent="0.25">
      <c r="B327" s="92">
        <v>25</v>
      </c>
      <c r="C327" s="181"/>
      <c r="D327" s="181"/>
      <c r="E327" s="181"/>
      <c r="F327" s="181"/>
      <c r="G327" s="181"/>
      <c r="H327" s="181"/>
      <c r="I327" s="181"/>
      <c r="J327" s="181"/>
      <c r="K327" s="181"/>
      <c r="L327" s="181"/>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55" t="str">
        <f t="shared" si="0"/>
        <v/>
      </c>
      <c r="AR327" s="156"/>
      <c r="AS327" s="156"/>
      <c r="AT327" s="156"/>
      <c r="AU327" s="156"/>
      <c r="AV327" s="157"/>
      <c r="AW327" s="7"/>
    </row>
    <row r="328" spans="2:49" x14ac:dyDescent="0.25">
      <c r="B328" s="92">
        <v>26</v>
      </c>
      <c r="C328" s="181"/>
      <c r="D328" s="181"/>
      <c r="E328" s="181"/>
      <c r="F328" s="181"/>
      <c r="G328" s="181"/>
      <c r="H328" s="181"/>
      <c r="I328" s="181"/>
      <c r="J328" s="181"/>
      <c r="K328" s="181"/>
      <c r="L328" s="181"/>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55" t="str">
        <f t="shared" si="0"/>
        <v/>
      </c>
      <c r="AR328" s="156"/>
      <c r="AS328" s="156"/>
      <c r="AT328" s="156"/>
      <c r="AU328" s="156"/>
      <c r="AV328" s="157"/>
      <c r="AW328" s="7"/>
    </row>
    <row r="329" spans="2:49" x14ac:dyDescent="0.25">
      <c r="B329" s="92">
        <v>27</v>
      </c>
      <c r="C329" s="181"/>
      <c r="D329" s="181"/>
      <c r="E329" s="181"/>
      <c r="F329" s="181"/>
      <c r="G329" s="181"/>
      <c r="H329" s="181"/>
      <c r="I329" s="181"/>
      <c r="J329" s="181"/>
      <c r="K329" s="181"/>
      <c r="L329" s="181"/>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55" t="str">
        <f t="shared" si="0"/>
        <v/>
      </c>
      <c r="AR329" s="156"/>
      <c r="AS329" s="156"/>
      <c r="AT329" s="156"/>
      <c r="AU329" s="156"/>
      <c r="AV329" s="157"/>
      <c r="AW329" s="7"/>
    </row>
    <row r="330" spans="2:49" x14ac:dyDescent="0.25">
      <c r="B330" s="92">
        <v>28</v>
      </c>
      <c r="C330" s="181"/>
      <c r="D330" s="181"/>
      <c r="E330" s="181"/>
      <c r="F330" s="181"/>
      <c r="G330" s="181"/>
      <c r="H330" s="181"/>
      <c r="I330" s="181"/>
      <c r="J330" s="181"/>
      <c r="K330" s="181"/>
      <c r="L330" s="181"/>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55" t="str">
        <f t="shared" si="0"/>
        <v/>
      </c>
      <c r="AR330" s="156"/>
      <c r="AS330" s="156"/>
      <c r="AT330" s="156"/>
      <c r="AU330" s="156"/>
      <c r="AV330" s="157"/>
      <c r="AW330" s="7"/>
    </row>
    <row r="331" spans="2:49" x14ac:dyDescent="0.25">
      <c r="B331" s="92">
        <v>29</v>
      </c>
      <c r="C331" s="181"/>
      <c r="D331" s="181"/>
      <c r="E331" s="181"/>
      <c r="F331" s="181"/>
      <c r="G331" s="181"/>
      <c r="H331" s="181"/>
      <c r="I331" s="181"/>
      <c r="J331" s="181"/>
      <c r="K331" s="181"/>
      <c r="L331" s="181"/>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55" t="str">
        <f t="shared" si="0"/>
        <v/>
      </c>
      <c r="AR331" s="156"/>
      <c r="AS331" s="156"/>
      <c r="AT331" s="156"/>
      <c r="AU331" s="156"/>
      <c r="AV331" s="157"/>
      <c r="AW331" s="7"/>
    </row>
    <row r="332" spans="2:49" ht="15.75" thickBot="1" x14ac:dyDescent="0.3">
      <c r="B332" s="93">
        <v>30</v>
      </c>
      <c r="C332" s="182"/>
      <c r="D332" s="182"/>
      <c r="E332" s="182"/>
      <c r="F332" s="182"/>
      <c r="G332" s="182"/>
      <c r="H332" s="182"/>
      <c r="I332" s="182"/>
      <c r="J332" s="182"/>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2"/>
      <c r="AL332" s="182"/>
      <c r="AM332" s="182"/>
      <c r="AN332" s="182"/>
      <c r="AO332" s="182"/>
      <c r="AP332" s="182"/>
      <c r="AQ332" s="175" t="str">
        <f t="shared" si="0"/>
        <v/>
      </c>
      <c r="AR332" s="176"/>
      <c r="AS332" s="176"/>
      <c r="AT332" s="176"/>
      <c r="AU332" s="176"/>
      <c r="AV332" s="177"/>
      <c r="AW332" s="7"/>
    </row>
    <row r="333" spans="2:49" ht="15.75" thickBot="1" x14ac:dyDescent="0.3">
      <c r="B333" s="178" t="s">
        <v>394</v>
      </c>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79"/>
      <c r="AK333" s="179"/>
      <c r="AL333" s="179"/>
      <c r="AM333" s="179"/>
      <c r="AN333" s="179"/>
      <c r="AO333" s="179"/>
      <c r="AP333" s="179"/>
      <c r="AQ333" s="178" t="str">
        <f>SUM(AQ303:AQ332) &amp; " " &amp;"kW"</f>
        <v>0 kW</v>
      </c>
      <c r="AR333" s="179"/>
      <c r="AS333" s="179"/>
      <c r="AT333" s="179"/>
      <c r="AU333" s="179"/>
      <c r="AV333" s="180"/>
      <c r="AW333" s="7"/>
    </row>
    <row r="334" spans="2:49" ht="3" customHeight="1" x14ac:dyDescent="0.25">
      <c r="B334" s="10"/>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1"/>
    </row>
    <row r="335" spans="2:49" ht="3" customHeight="1" x14ac:dyDescent="0.25"/>
    <row r="336" spans="2:49" ht="15.75" customHeight="1" x14ac:dyDescent="0.25">
      <c r="B336" s="12"/>
      <c r="C336" s="13"/>
      <c r="D336" s="13"/>
      <c r="E336" s="162" t="s">
        <v>367</v>
      </c>
      <c r="F336" s="162"/>
      <c r="G336" s="162"/>
      <c r="H336" s="162"/>
      <c r="I336" s="162"/>
      <c r="J336" s="162"/>
      <c r="K336" s="162"/>
      <c r="L336" s="162"/>
      <c r="M336" s="162"/>
      <c r="N336" s="162"/>
      <c r="O336" s="162"/>
      <c r="P336" s="162"/>
      <c r="Q336" s="162"/>
      <c r="R336" s="162"/>
      <c r="S336" s="162"/>
      <c r="T336" s="162"/>
      <c r="U336" s="162"/>
      <c r="V336" s="162"/>
      <c r="W336" s="162"/>
      <c r="X336" s="162"/>
      <c r="Y336" s="162"/>
      <c r="Z336" s="162"/>
      <c r="AA336" s="162"/>
      <c r="AB336" s="162"/>
      <c r="AC336" s="162"/>
      <c r="AD336" s="162"/>
      <c r="AE336" s="162"/>
      <c r="AF336" s="162"/>
      <c r="AG336" s="162"/>
      <c r="AH336" s="162"/>
      <c r="AI336" s="162"/>
      <c r="AJ336" s="162"/>
      <c r="AK336" s="162"/>
      <c r="AL336" s="162"/>
      <c r="AM336" s="162"/>
      <c r="AN336" s="162"/>
      <c r="AO336" s="162"/>
      <c r="AP336" s="162"/>
      <c r="AQ336" s="162"/>
      <c r="AR336" s="162"/>
      <c r="AS336" s="162"/>
      <c r="AT336" s="39"/>
      <c r="AU336" s="39"/>
      <c r="AV336" s="39"/>
      <c r="AW336" s="14"/>
    </row>
    <row r="337" spans="1:50" ht="15.75" x14ac:dyDescent="0.25">
      <c r="B337" s="9"/>
      <c r="E337" s="163"/>
      <c r="F337" s="163"/>
      <c r="G337" s="163"/>
      <c r="H337" s="163"/>
      <c r="I337" s="163"/>
      <c r="J337" s="163"/>
      <c r="K337" s="163"/>
      <c r="L337" s="163"/>
      <c r="M337" s="163"/>
      <c r="N337" s="163"/>
      <c r="O337" s="163"/>
      <c r="P337" s="163"/>
      <c r="Q337" s="163"/>
      <c r="R337" s="163"/>
      <c r="S337" s="163"/>
      <c r="T337" s="163"/>
      <c r="U337" s="163"/>
      <c r="V337" s="163"/>
      <c r="W337" s="163"/>
      <c r="X337" s="163"/>
      <c r="Y337" s="163"/>
      <c r="Z337" s="163"/>
      <c r="AA337" s="163"/>
      <c r="AB337" s="163"/>
      <c r="AC337" s="163"/>
      <c r="AD337" s="163"/>
      <c r="AE337" s="163"/>
      <c r="AF337" s="163"/>
      <c r="AG337" s="163"/>
      <c r="AH337" s="163"/>
      <c r="AI337" s="163"/>
      <c r="AJ337" s="163"/>
      <c r="AK337" s="163"/>
      <c r="AL337" s="163"/>
      <c r="AM337" s="163"/>
      <c r="AN337" s="163"/>
      <c r="AO337" s="163"/>
      <c r="AP337" s="163"/>
      <c r="AQ337" s="163"/>
      <c r="AR337" s="163"/>
      <c r="AS337" s="163"/>
      <c r="AT337" s="40"/>
      <c r="AU337" s="40"/>
      <c r="AV337" s="40"/>
      <c r="AW337" s="7"/>
    </row>
    <row r="338" spans="1:50" ht="15.75" x14ac:dyDescent="0.25">
      <c r="B338" s="9"/>
      <c r="E338" s="163"/>
      <c r="F338" s="163"/>
      <c r="G338" s="163"/>
      <c r="H338" s="163"/>
      <c r="I338" s="163"/>
      <c r="J338" s="163"/>
      <c r="K338" s="163"/>
      <c r="L338" s="163"/>
      <c r="M338" s="163"/>
      <c r="N338" s="163"/>
      <c r="O338" s="163"/>
      <c r="P338" s="163"/>
      <c r="Q338" s="163"/>
      <c r="R338" s="163"/>
      <c r="S338" s="163"/>
      <c r="T338" s="163"/>
      <c r="U338" s="163"/>
      <c r="V338" s="163"/>
      <c r="W338" s="163"/>
      <c r="X338" s="163"/>
      <c r="Y338" s="163"/>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40"/>
      <c r="AU338" s="40"/>
      <c r="AV338" s="40"/>
      <c r="AW338" s="7"/>
    </row>
    <row r="339" spans="1:50" x14ac:dyDescent="0.25">
      <c r="B339" s="164" t="s">
        <v>396</v>
      </c>
      <c r="C339" s="165"/>
      <c r="D339" s="165"/>
      <c r="E339" s="165"/>
      <c r="F339" s="165"/>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5"/>
      <c r="AG339" s="165"/>
      <c r="AH339" s="165"/>
      <c r="AI339" s="165"/>
      <c r="AJ339" s="165"/>
      <c r="AK339" s="165"/>
      <c r="AL339" s="165"/>
      <c r="AM339" s="165"/>
      <c r="AN339" s="165"/>
      <c r="AO339" s="165"/>
      <c r="AP339" s="165"/>
      <c r="AQ339" s="165"/>
      <c r="AR339" s="165"/>
      <c r="AS339" s="165"/>
      <c r="AT339" s="165"/>
      <c r="AU339" s="165"/>
      <c r="AV339" s="165"/>
      <c r="AW339" s="11"/>
    </row>
    <row r="340" spans="1:50" ht="3" customHeight="1" x14ac:dyDescent="0.25"/>
    <row r="341" spans="1:50" x14ac:dyDescent="0.25">
      <c r="A341" s="55"/>
      <c r="B341" s="174" t="str">
        <f>IF(OR(C347="",C351="",C354="",C358="",C362=""),"Há perguntas sem resposta. Favor conferir se as 5 perguntas foram respondidas","")</f>
        <v>Há perguntas sem resposta. Favor conferir se as 5 perguntas foram respondidas</v>
      </c>
      <c r="C341" s="174"/>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c r="AA341" s="174"/>
      <c r="AB341" s="174"/>
      <c r="AC341" s="174"/>
      <c r="AD341" s="174"/>
      <c r="AE341" s="174"/>
      <c r="AF341" s="174"/>
      <c r="AG341" s="174"/>
      <c r="AH341" s="174"/>
      <c r="AI341" s="174"/>
      <c r="AJ341" s="174"/>
      <c r="AK341" s="174"/>
      <c r="AL341" s="174"/>
      <c r="AM341" s="174"/>
      <c r="AN341" s="174"/>
      <c r="AO341" s="174"/>
      <c r="AP341" s="174"/>
      <c r="AQ341" s="174"/>
      <c r="AR341" s="174"/>
      <c r="AS341" s="174"/>
      <c r="AT341" s="174"/>
      <c r="AU341" s="174"/>
      <c r="AV341" s="174"/>
      <c r="AW341" s="174"/>
      <c r="AX341" s="55"/>
    </row>
    <row r="342" spans="1:50" x14ac:dyDescent="0.25">
      <c r="A342" s="55"/>
      <c r="B342" s="174"/>
      <c r="C342" s="174"/>
      <c r="D342" s="174"/>
      <c r="E342" s="174"/>
      <c r="F342" s="174"/>
      <c r="G342" s="174"/>
      <c r="H342" s="174"/>
      <c r="I342" s="174"/>
      <c r="J342" s="174"/>
      <c r="K342" s="174"/>
      <c r="L342" s="174"/>
      <c r="M342" s="174"/>
      <c r="N342" s="174"/>
      <c r="O342" s="174"/>
      <c r="P342" s="174"/>
      <c r="Q342" s="174"/>
      <c r="R342" s="174"/>
      <c r="S342" s="174"/>
      <c r="T342" s="174"/>
      <c r="U342" s="174"/>
      <c r="V342" s="174"/>
      <c r="W342" s="174"/>
      <c r="X342" s="174"/>
      <c r="Y342" s="174"/>
      <c r="Z342" s="174"/>
      <c r="AA342" s="174"/>
      <c r="AB342" s="174"/>
      <c r="AC342" s="174"/>
      <c r="AD342" s="174"/>
      <c r="AE342" s="174"/>
      <c r="AF342" s="174"/>
      <c r="AG342" s="174"/>
      <c r="AH342" s="174"/>
      <c r="AI342" s="174"/>
      <c r="AJ342" s="174"/>
      <c r="AK342" s="174"/>
      <c r="AL342" s="174"/>
      <c r="AM342" s="174"/>
      <c r="AN342" s="174"/>
      <c r="AO342" s="174"/>
      <c r="AP342" s="174"/>
      <c r="AQ342" s="174"/>
      <c r="AR342" s="174"/>
      <c r="AS342" s="174"/>
      <c r="AT342" s="174"/>
      <c r="AU342" s="174"/>
      <c r="AV342" s="174"/>
      <c r="AW342" s="174"/>
      <c r="AX342" s="55"/>
    </row>
    <row r="343" spans="1:50" x14ac:dyDescent="0.25">
      <c r="B343" s="130" t="s">
        <v>368</v>
      </c>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c r="AA343" s="131"/>
      <c r="AB343" s="131"/>
      <c r="AC343" s="131"/>
      <c r="AD343" s="131"/>
      <c r="AE343" s="131"/>
      <c r="AF343" s="131"/>
      <c r="AG343" s="131"/>
      <c r="AH343" s="131"/>
      <c r="AI343" s="131"/>
      <c r="AJ343" s="131"/>
      <c r="AK343" s="131"/>
      <c r="AL343" s="131"/>
      <c r="AM343" s="131"/>
      <c r="AN343" s="131"/>
      <c r="AO343" s="131"/>
      <c r="AP343" s="131"/>
      <c r="AQ343" s="131"/>
      <c r="AR343" s="131"/>
      <c r="AS343" s="131"/>
      <c r="AT343" s="131"/>
      <c r="AU343" s="131"/>
      <c r="AV343" s="131"/>
      <c r="AW343" s="132"/>
    </row>
    <row r="344" spans="1:50" x14ac:dyDescent="0.25">
      <c r="B344" s="9"/>
      <c r="E344" s="29"/>
      <c r="AW344" s="7"/>
    </row>
    <row r="345" spans="1:50" x14ac:dyDescent="0.25">
      <c r="A345" s="44"/>
      <c r="B345" s="169" t="s">
        <v>370</v>
      </c>
      <c r="C345" s="170"/>
      <c r="D345" s="170"/>
      <c r="E345" s="170"/>
      <c r="F345" s="170"/>
      <c r="G345" s="170"/>
      <c r="H345" s="170"/>
      <c r="I345" s="170"/>
      <c r="J345" s="170"/>
      <c r="K345" s="170"/>
      <c r="L345" s="170"/>
      <c r="M345" s="170"/>
      <c r="N345" s="170"/>
      <c r="O345" s="170"/>
      <c r="P345" s="170"/>
      <c r="Q345" s="170"/>
      <c r="R345" s="170"/>
      <c r="S345" s="170"/>
      <c r="T345" s="170"/>
      <c r="U345" s="170"/>
      <c r="V345" s="170"/>
      <c r="W345" s="170"/>
      <c r="X345" s="170"/>
      <c r="Y345" s="170"/>
      <c r="Z345" s="170"/>
      <c r="AA345" s="170"/>
      <c r="AB345" s="170"/>
      <c r="AC345" s="170"/>
      <c r="AD345" s="170"/>
      <c r="AE345" s="170"/>
      <c r="AF345" s="170"/>
      <c r="AG345" s="170"/>
      <c r="AH345" s="170"/>
      <c r="AI345" s="170"/>
      <c r="AJ345" s="170"/>
      <c r="AK345" s="170"/>
      <c r="AL345" s="170"/>
      <c r="AM345" s="170"/>
      <c r="AN345" s="170"/>
      <c r="AO345" s="62"/>
      <c r="AP345" s="62"/>
      <c r="AQ345" s="62"/>
      <c r="AR345" s="62"/>
      <c r="AS345" s="62"/>
      <c r="AT345" s="62"/>
      <c r="AU345" s="62"/>
      <c r="AV345" s="62"/>
      <c r="AW345" s="88"/>
      <c r="AX345" s="44"/>
    </row>
    <row r="346" spans="1:50" ht="3" customHeight="1" x14ac:dyDescent="0.25">
      <c r="A346" s="44"/>
      <c r="B346" s="46"/>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c r="AM346" s="47"/>
      <c r="AN346" s="47"/>
      <c r="AO346" s="47"/>
      <c r="AP346" s="47"/>
      <c r="AQ346" s="47"/>
      <c r="AR346" s="47"/>
      <c r="AS346" s="47"/>
      <c r="AT346" s="47"/>
      <c r="AU346" s="47"/>
      <c r="AV346" s="47"/>
      <c r="AW346" s="45"/>
      <c r="AX346" s="44"/>
    </row>
    <row r="347" spans="1:50" ht="35.1" customHeight="1" x14ac:dyDescent="0.25">
      <c r="A347" s="44"/>
      <c r="B347" s="46"/>
      <c r="C347" s="166"/>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c r="AA347" s="167"/>
      <c r="AB347" s="167"/>
      <c r="AC347" s="167"/>
      <c r="AD347" s="167"/>
      <c r="AE347" s="167"/>
      <c r="AF347" s="167"/>
      <c r="AG347" s="167"/>
      <c r="AH347" s="167"/>
      <c r="AI347" s="167"/>
      <c r="AJ347" s="167"/>
      <c r="AK347" s="167"/>
      <c r="AL347" s="167"/>
      <c r="AM347" s="167"/>
      <c r="AN347" s="167"/>
      <c r="AO347" s="167"/>
      <c r="AP347" s="167"/>
      <c r="AQ347" s="167"/>
      <c r="AR347" s="167"/>
      <c r="AS347" s="167"/>
      <c r="AT347" s="167"/>
      <c r="AU347" s="168"/>
      <c r="AV347" s="47"/>
      <c r="AW347" s="45"/>
      <c r="AX347" s="44"/>
    </row>
    <row r="348" spans="1:50" ht="3" customHeight="1" x14ac:dyDescent="0.25">
      <c r="A348" s="44"/>
      <c r="B348" s="43"/>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c r="AA348" s="44"/>
      <c r="AB348" s="44"/>
      <c r="AC348" s="44"/>
      <c r="AD348" s="44"/>
      <c r="AE348" s="44"/>
      <c r="AF348" s="44"/>
      <c r="AG348" s="44"/>
      <c r="AH348" s="44"/>
      <c r="AI348" s="44"/>
      <c r="AJ348" s="44"/>
      <c r="AK348" s="44"/>
      <c r="AL348" s="44"/>
      <c r="AM348" s="44"/>
      <c r="AN348" s="44"/>
      <c r="AO348" s="44"/>
      <c r="AP348" s="44"/>
      <c r="AQ348" s="44"/>
      <c r="AR348" s="44"/>
      <c r="AS348" s="44"/>
      <c r="AT348" s="44"/>
      <c r="AU348" s="44"/>
      <c r="AV348" s="44"/>
      <c r="AW348" s="45"/>
      <c r="AX348" s="44"/>
    </row>
    <row r="349" spans="1:50" x14ac:dyDescent="0.25">
      <c r="A349" s="44"/>
      <c r="B349" s="169" t="s">
        <v>371</v>
      </c>
      <c r="C349" s="170"/>
      <c r="D349" s="170"/>
      <c r="E349" s="170"/>
      <c r="F349" s="170"/>
      <c r="G349" s="170"/>
      <c r="H349" s="170"/>
      <c r="I349" s="170"/>
      <c r="J349" s="170"/>
      <c r="K349" s="170"/>
      <c r="L349" s="170"/>
      <c r="M349" s="170"/>
      <c r="N349" s="170"/>
      <c r="O349" s="170"/>
      <c r="P349" s="170"/>
      <c r="Q349" s="170"/>
      <c r="R349" s="170"/>
      <c r="S349" s="170"/>
      <c r="T349" s="170"/>
      <c r="U349" s="170"/>
      <c r="V349" s="170"/>
      <c r="W349" s="170"/>
      <c r="X349" s="170"/>
      <c r="Y349" s="170"/>
      <c r="Z349" s="170"/>
      <c r="AA349" s="170"/>
      <c r="AB349" s="170"/>
      <c r="AC349" s="170"/>
      <c r="AD349" s="170"/>
      <c r="AE349" s="170"/>
      <c r="AF349" s="170"/>
      <c r="AG349" s="170"/>
      <c r="AH349" s="170"/>
      <c r="AI349" s="170"/>
      <c r="AJ349" s="170"/>
      <c r="AK349" s="170"/>
      <c r="AL349" s="62"/>
      <c r="AM349" s="62"/>
      <c r="AN349" s="62"/>
      <c r="AO349" s="62"/>
      <c r="AP349" s="62"/>
      <c r="AQ349" s="62"/>
      <c r="AR349" s="62"/>
      <c r="AS349" s="62"/>
      <c r="AT349" s="62"/>
      <c r="AU349" s="62"/>
      <c r="AV349" s="62"/>
      <c r="AW349" s="45"/>
      <c r="AX349" s="44"/>
    </row>
    <row r="350" spans="1:50" ht="3" customHeight="1" x14ac:dyDescent="0.25">
      <c r="A350" s="44"/>
      <c r="B350" s="48"/>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c r="AT350" s="49"/>
      <c r="AU350" s="49"/>
      <c r="AV350" s="49"/>
      <c r="AW350" s="45"/>
      <c r="AX350" s="44"/>
    </row>
    <row r="351" spans="1:50" ht="35.1" customHeight="1" x14ac:dyDescent="0.25">
      <c r="A351" s="44"/>
      <c r="B351" s="43"/>
      <c r="C351" s="166"/>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c r="AA351" s="167"/>
      <c r="AB351" s="167"/>
      <c r="AC351" s="167"/>
      <c r="AD351" s="167"/>
      <c r="AE351" s="167"/>
      <c r="AF351" s="167"/>
      <c r="AG351" s="167"/>
      <c r="AH351" s="167"/>
      <c r="AI351" s="167"/>
      <c r="AJ351" s="167"/>
      <c r="AK351" s="167"/>
      <c r="AL351" s="167"/>
      <c r="AM351" s="167"/>
      <c r="AN351" s="167"/>
      <c r="AO351" s="167"/>
      <c r="AP351" s="167"/>
      <c r="AQ351" s="167"/>
      <c r="AR351" s="167"/>
      <c r="AS351" s="167"/>
      <c r="AT351" s="167"/>
      <c r="AU351" s="168"/>
      <c r="AV351" s="44"/>
      <c r="AW351" s="45"/>
      <c r="AX351" s="44"/>
    </row>
    <row r="352" spans="1:50" ht="3" customHeight="1" x14ac:dyDescent="0.25">
      <c r="A352" s="44"/>
      <c r="B352" s="43"/>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c r="AA352" s="44"/>
      <c r="AB352" s="44"/>
      <c r="AC352" s="44"/>
      <c r="AD352" s="44"/>
      <c r="AE352" s="44"/>
      <c r="AF352" s="44"/>
      <c r="AG352" s="44"/>
      <c r="AH352" s="44"/>
      <c r="AI352" s="44"/>
      <c r="AJ352" s="44"/>
      <c r="AK352" s="44"/>
      <c r="AL352" s="44"/>
      <c r="AM352" s="44"/>
      <c r="AN352" s="44"/>
      <c r="AO352" s="44"/>
      <c r="AP352" s="44"/>
      <c r="AQ352" s="44"/>
      <c r="AR352" s="44"/>
      <c r="AS352" s="44"/>
      <c r="AT352" s="44"/>
      <c r="AU352" s="44"/>
      <c r="AV352" s="44"/>
      <c r="AW352" s="45"/>
      <c r="AX352" s="44"/>
    </row>
    <row r="353" spans="1:50" x14ac:dyDescent="0.25">
      <c r="A353" s="44"/>
      <c r="B353" s="169" t="s">
        <v>377</v>
      </c>
      <c r="C353" s="170"/>
      <c r="D353" s="170"/>
      <c r="E353" s="170"/>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c r="AD353" s="170"/>
      <c r="AE353" s="170"/>
      <c r="AF353" s="170"/>
      <c r="AG353" s="170"/>
      <c r="AH353" s="62"/>
      <c r="AI353" s="62"/>
      <c r="AJ353" s="62"/>
      <c r="AK353" s="62"/>
      <c r="AL353" s="62"/>
      <c r="AM353" s="62"/>
      <c r="AN353" s="62"/>
      <c r="AO353" s="62"/>
      <c r="AP353" s="62"/>
      <c r="AQ353" s="62"/>
      <c r="AR353" s="62"/>
      <c r="AS353" s="62"/>
      <c r="AT353" s="62"/>
      <c r="AU353" s="62"/>
      <c r="AV353" s="62"/>
      <c r="AW353" s="45"/>
      <c r="AX353" s="44"/>
    </row>
    <row r="354" spans="1:50" ht="35.1" customHeight="1" x14ac:dyDescent="0.25">
      <c r="A354" s="44"/>
      <c r="B354" s="89"/>
      <c r="C354" s="171"/>
      <c r="D354" s="172"/>
      <c r="E354" s="172"/>
      <c r="F354" s="172"/>
      <c r="G354" s="172"/>
      <c r="H354" s="172"/>
      <c r="I354" s="172"/>
      <c r="J354" s="172"/>
      <c r="K354" s="172"/>
      <c r="L354" s="172"/>
      <c r="M354" s="172"/>
      <c r="N354" s="172"/>
      <c r="O354" s="172"/>
      <c r="P354" s="172"/>
      <c r="Q354" s="172"/>
      <c r="R354" s="172"/>
      <c r="S354" s="172"/>
      <c r="T354" s="172"/>
      <c r="U354" s="172"/>
      <c r="V354" s="172"/>
      <c r="W354" s="172"/>
      <c r="X354" s="172"/>
      <c r="Y354" s="172"/>
      <c r="Z354" s="172"/>
      <c r="AA354" s="172"/>
      <c r="AB354" s="172"/>
      <c r="AC354" s="172"/>
      <c r="AD354" s="172"/>
      <c r="AE354" s="172"/>
      <c r="AF354" s="172"/>
      <c r="AG354" s="172"/>
      <c r="AH354" s="172"/>
      <c r="AI354" s="172"/>
      <c r="AJ354" s="172"/>
      <c r="AK354" s="172"/>
      <c r="AL354" s="172"/>
      <c r="AM354" s="172"/>
      <c r="AN354" s="172"/>
      <c r="AO354" s="172"/>
      <c r="AP354" s="172"/>
      <c r="AQ354" s="172"/>
      <c r="AR354" s="172"/>
      <c r="AS354" s="172"/>
      <c r="AT354" s="172"/>
      <c r="AU354" s="173"/>
      <c r="AV354" s="62"/>
      <c r="AW354" s="45"/>
      <c r="AX354" s="44"/>
    </row>
    <row r="355" spans="1:50" ht="3" customHeight="1" x14ac:dyDescent="0.25">
      <c r="A355" s="44"/>
      <c r="B355" s="48"/>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5"/>
      <c r="AX355" s="44"/>
    </row>
    <row r="356" spans="1:50" x14ac:dyDescent="0.25">
      <c r="A356" s="44"/>
      <c r="B356" s="169" t="s">
        <v>382</v>
      </c>
      <c r="C356" s="170"/>
      <c r="D356" s="170"/>
      <c r="E356" s="170"/>
      <c r="F356" s="170"/>
      <c r="G356" s="170"/>
      <c r="H356" s="170"/>
      <c r="I356" s="170"/>
      <c r="J356" s="170"/>
      <c r="K356" s="170"/>
      <c r="L356" s="170"/>
      <c r="M356" s="170"/>
      <c r="N356" s="170"/>
      <c r="O356" s="170"/>
      <c r="P356" s="170"/>
      <c r="Q356" s="170"/>
      <c r="R356" s="170"/>
      <c r="S356" s="170"/>
      <c r="T356" s="170"/>
      <c r="U356" s="170"/>
      <c r="V356" s="170"/>
      <c r="W356" s="170"/>
      <c r="X356" s="170"/>
      <c r="Y356" s="170"/>
      <c r="Z356" s="170"/>
      <c r="AA356" s="170"/>
      <c r="AB356" s="170"/>
      <c r="AC356" s="170"/>
      <c r="AD356" s="170"/>
      <c r="AE356" s="170"/>
      <c r="AF356" s="170"/>
      <c r="AG356" s="170"/>
      <c r="AH356" s="62"/>
      <c r="AI356" s="62"/>
      <c r="AJ356" s="62"/>
      <c r="AK356" s="62"/>
      <c r="AL356" s="62"/>
      <c r="AM356" s="62"/>
      <c r="AN356" s="62"/>
      <c r="AO356" s="62"/>
      <c r="AP356" s="62"/>
      <c r="AQ356" s="62"/>
      <c r="AR356" s="62"/>
      <c r="AS356" s="62"/>
      <c r="AT356" s="62"/>
      <c r="AU356" s="62"/>
      <c r="AV356" s="62"/>
      <c r="AW356" s="45"/>
      <c r="AX356" s="44"/>
    </row>
    <row r="357" spans="1:50" ht="3" customHeight="1" x14ac:dyDescent="0.25">
      <c r="A357" s="44"/>
      <c r="B357" s="89"/>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c r="AU357" s="62"/>
      <c r="AV357" s="62"/>
      <c r="AW357" s="45"/>
      <c r="AX357" s="44"/>
    </row>
    <row r="358" spans="1:50" ht="35.1" customHeight="1" x14ac:dyDescent="0.25">
      <c r="A358" s="44"/>
      <c r="B358" s="43"/>
      <c r="C358" s="171"/>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c r="AA358" s="172"/>
      <c r="AB358" s="172"/>
      <c r="AC358" s="172"/>
      <c r="AD358" s="172"/>
      <c r="AE358" s="172"/>
      <c r="AF358" s="172"/>
      <c r="AG358" s="172"/>
      <c r="AH358" s="172"/>
      <c r="AI358" s="172"/>
      <c r="AJ358" s="172"/>
      <c r="AK358" s="172"/>
      <c r="AL358" s="172"/>
      <c r="AM358" s="172"/>
      <c r="AN358" s="172"/>
      <c r="AO358" s="172"/>
      <c r="AP358" s="172"/>
      <c r="AQ358" s="172"/>
      <c r="AR358" s="172"/>
      <c r="AS358" s="172"/>
      <c r="AT358" s="172"/>
      <c r="AU358" s="173"/>
      <c r="AV358" s="44"/>
      <c r="AW358" s="45"/>
      <c r="AX358" s="44"/>
    </row>
    <row r="359" spans="1:50" ht="3" customHeight="1" x14ac:dyDescent="0.25">
      <c r="A359" s="44"/>
      <c r="B359" s="48"/>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c r="AT359" s="49"/>
      <c r="AU359" s="49"/>
      <c r="AV359" s="49"/>
      <c r="AW359" s="45"/>
      <c r="AX359" s="44"/>
    </row>
    <row r="360" spans="1:50" x14ac:dyDescent="0.25">
      <c r="A360" s="44"/>
      <c r="B360" s="169" t="s">
        <v>385</v>
      </c>
      <c r="C360" s="170"/>
      <c r="D360" s="170"/>
      <c r="E360" s="170"/>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c r="AD360" s="170"/>
      <c r="AE360" s="170"/>
      <c r="AF360" s="170"/>
      <c r="AG360" s="62"/>
      <c r="AH360" s="62"/>
      <c r="AI360" s="62"/>
      <c r="AJ360" s="62"/>
      <c r="AK360" s="62"/>
      <c r="AL360" s="62"/>
      <c r="AM360" s="62"/>
      <c r="AN360" s="62"/>
      <c r="AO360" s="62"/>
      <c r="AP360" s="62"/>
      <c r="AQ360" s="62"/>
      <c r="AR360" s="62"/>
      <c r="AS360" s="62"/>
      <c r="AT360" s="62"/>
      <c r="AU360" s="62"/>
      <c r="AV360" s="62"/>
      <c r="AW360" s="45"/>
      <c r="AX360" s="44"/>
    </row>
    <row r="361" spans="1:50" ht="3" customHeight="1" x14ac:dyDescent="0.25">
      <c r="A361" s="44"/>
      <c r="B361" s="89"/>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c r="AU361" s="62"/>
      <c r="AV361" s="62"/>
      <c r="AW361" s="45"/>
      <c r="AX361" s="44"/>
    </row>
    <row r="362" spans="1:50" ht="35.1" customHeight="1" x14ac:dyDescent="0.25">
      <c r="A362" s="44"/>
      <c r="B362" s="48"/>
      <c r="C362" s="171"/>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c r="AA362" s="172"/>
      <c r="AB362" s="172"/>
      <c r="AC362" s="172"/>
      <c r="AD362" s="172"/>
      <c r="AE362" s="172"/>
      <c r="AF362" s="172"/>
      <c r="AG362" s="172"/>
      <c r="AH362" s="172"/>
      <c r="AI362" s="172"/>
      <c r="AJ362" s="172"/>
      <c r="AK362" s="172"/>
      <c r="AL362" s="172"/>
      <c r="AM362" s="172"/>
      <c r="AN362" s="172"/>
      <c r="AO362" s="172"/>
      <c r="AP362" s="172"/>
      <c r="AQ362" s="172"/>
      <c r="AR362" s="172"/>
      <c r="AS362" s="172"/>
      <c r="AT362" s="172"/>
      <c r="AU362" s="173"/>
      <c r="AV362" s="49"/>
      <c r="AW362" s="45"/>
      <c r="AX362" s="44"/>
    </row>
    <row r="363" spans="1:50" ht="3" customHeight="1" x14ac:dyDescent="0.25">
      <c r="A363" s="44"/>
      <c r="B363" s="122"/>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3"/>
      <c r="AL363" s="123"/>
      <c r="AM363" s="123"/>
      <c r="AN363" s="123"/>
      <c r="AO363" s="123"/>
      <c r="AP363" s="123"/>
      <c r="AQ363" s="123"/>
      <c r="AR363" s="123"/>
      <c r="AS363" s="123"/>
      <c r="AT363" s="123"/>
      <c r="AU363" s="123"/>
      <c r="AV363" s="123"/>
      <c r="AW363" s="45"/>
      <c r="AX363" s="44"/>
    </row>
    <row r="364" spans="1:50" x14ac:dyDescent="0.25">
      <c r="B364" s="10"/>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1"/>
    </row>
    <row r="365" spans="1:50" ht="3" customHeight="1" x14ac:dyDescent="0.25"/>
    <row r="366" spans="1:50" ht="3" customHeight="1" x14ac:dyDescent="0.25"/>
    <row r="367" spans="1:50" x14ac:dyDescent="0.25">
      <c r="B367" s="130" t="s">
        <v>369</v>
      </c>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2"/>
    </row>
    <row r="368" spans="1:50" ht="3" customHeight="1" x14ac:dyDescent="0.25">
      <c r="B368" s="9"/>
      <c r="AW368" s="7"/>
    </row>
    <row r="369" spans="2:49" ht="3" customHeight="1" x14ac:dyDescent="0.25">
      <c r="B369" s="9"/>
      <c r="AW369" s="7"/>
    </row>
    <row r="370" spans="2:49" ht="78" customHeight="1" x14ac:dyDescent="0.25">
      <c r="B370" s="9"/>
      <c r="D370" s="134" t="s">
        <v>390</v>
      </c>
      <c r="E370" s="134"/>
      <c r="F370" s="134"/>
      <c r="G370" s="134"/>
      <c r="H370" s="134"/>
      <c r="I370" s="134"/>
      <c r="J370" s="134"/>
      <c r="K370" s="134"/>
      <c r="L370" s="134"/>
      <c r="M370" s="134"/>
      <c r="N370" s="134"/>
      <c r="O370" s="134"/>
      <c r="P370" s="134"/>
      <c r="Q370" s="134"/>
      <c r="R370" s="134"/>
      <c r="S370" s="134"/>
      <c r="T370" s="134"/>
      <c r="U370" s="134"/>
      <c r="V370" s="134"/>
      <c r="W370" s="134"/>
      <c r="X370" s="134"/>
      <c r="Y370" s="134"/>
      <c r="Z370" s="134"/>
      <c r="AA370" s="134"/>
      <c r="AB370" s="134"/>
      <c r="AC370" s="134"/>
      <c r="AD370" s="134"/>
      <c r="AE370" s="134"/>
      <c r="AF370" s="134"/>
      <c r="AG370" s="134"/>
      <c r="AH370" s="134"/>
      <c r="AI370" s="134"/>
      <c r="AJ370" s="134"/>
      <c r="AK370" s="134"/>
      <c r="AL370" s="134"/>
      <c r="AM370" s="134"/>
      <c r="AN370" s="134"/>
      <c r="AO370" s="134"/>
      <c r="AP370" s="134"/>
      <c r="AQ370" s="134"/>
      <c r="AR370" s="134"/>
      <c r="AS370" s="134"/>
      <c r="AW370" s="7"/>
    </row>
    <row r="371" spans="2:49" ht="3" customHeight="1" x14ac:dyDescent="0.25">
      <c r="B371" s="9"/>
      <c r="AW371" s="7"/>
    </row>
    <row r="372" spans="2:49" ht="3" customHeight="1" x14ac:dyDescent="0.25">
      <c r="B372" s="9"/>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7"/>
    </row>
    <row r="373" spans="2:49" x14ac:dyDescent="0.25">
      <c r="B373" s="33" t="s">
        <v>207</v>
      </c>
      <c r="C373" s="34"/>
      <c r="D373" s="34"/>
      <c r="E373" s="34"/>
      <c r="F373" s="34"/>
      <c r="G373" s="34"/>
      <c r="H373" s="34"/>
      <c r="I373" s="34"/>
      <c r="J373" s="34"/>
      <c r="K373" s="34"/>
      <c r="L373" s="34"/>
      <c r="M373" s="34"/>
      <c r="N373" s="34"/>
      <c r="O373" s="34"/>
      <c r="P373" s="34"/>
      <c r="Q373" s="34"/>
      <c r="R373" s="34"/>
      <c r="S373" s="34"/>
      <c r="T373" s="34"/>
      <c r="V373" s="34" t="s">
        <v>126</v>
      </c>
      <c r="W373" s="34"/>
      <c r="X373" s="34"/>
      <c r="Y373" s="3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7"/>
    </row>
    <row r="374" spans="2:49" ht="3" customHeight="1" thickBot="1" x14ac:dyDescent="0.3">
      <c r="B374" s="33"/>
      <c r="C374" s="34"/>
      <c r="D374" s="34"/>
      <c r="E374" s="34"/>
      <c r="F374" s="34"/>
      <c r="G374" s="34"/>
      <c r="H374" s="34"/>
      <c r="I374" s="34"/>
      <c r="J374" s="34"/>
      <c r="K374" s="34"/>
      <c r="L374" s="34"/>
      <c r="M374" s="34"/>
      <c r="N374" s="34"/>
      <c r="O374" s="34"/>
      <c r="P374" s="34"/>
      <c r="Q374" s="34"/>
      <c r="R374" s="34"/>
      <c r="S374" s="34"/>
      <c r="T374" s="34"/>
      <c r="V374" s="34"/>
      <c r="W374" s="34"/>
      <c r="X374" s="34"/>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7"/>
    </row>
    <row r="375" spans="2:49" ht="21" customHeight="1" x14ac:dyDescent="0.25">
      <c r="B375" s="33"/>
      <c r="C375" s="158"/>
      <c r="D375" s="159"/>
      <c r="E375" s="159"/>
      <c r="F375" s="159"/>
      <c r="G375" s="159"/>
      <c r="H375" s="159"/>
      <c r="I375" s="159"/>
      <c r="J375" s="159"/>
      <c r="K375" s="159"/>
      <c r="L375" s="159"/>
      <c r="M375" s="159"/>
      <c r="N375" s="159"/>
      <c r="O375" s="159"/>
      <c r="P375" s="159"/>
      <c r="Q375" s="159"/>
      <c r="R375" s="159"/>
      <c r="S375" s="159"/>
      <c r="T375" s="160"/>
      <c r="V375" s="161"/>
      <c r="W375" s="161"/>
      <c r="X375" s="161"/>
      <c r="Y375" s="161"/>
      <c r="Z375" s="161"/>
      <c r="AA375" s="161"/>
      <c r="AB375" s="161"/>
      <c r="AC375" s="161"/>
      <c r="AD375" s="161"/>
      <c r="AE375" s="161"/>
      <c r="AF375" s="161"/>
      <c r="AG375" s="161"/>
      <c r="AH375" s="161"/>
      <c r="AI375" s="161"/>
      <c r="AJ375" s="161"/>
      <c r="AK375" s="161"/>
      <c r="AL375" s="161"/>
      <c r="AM375" s="161"/>
      <c r="AN375" s="161"/>
      <c r="AO375" s="161"/>
      <c r="AP375" s="161"/>
      <c r="AQ375" s="161"/>
      <c r="AR375" s="161"/>
      <c r="AS375" s="161"/>
      <c r="AT375" s="161"/>
      <c r="AU375" s="161"/>
      <c r="AV375" s="161"/>
      <c r="AW375" s="7"/>
    </row>
    <row r="376" spans="2:49" x14ac:dyDescent="0.25">
      <c r="B376" s="10"/>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1"/>
    </row>
  </sheetData>
  <sheetProtection algorithmName="SHA-512" hashValue="IubXbVdhJVb+3EkvIG666pmR83xMAIukmKmXUFtOSEdW8me3RnI1VPyUSrY63qh3HmaOnJtr1UoJp0Ymn6Mz4Q==" saltValue="F5BNV3ochx+rO/snLxQamg==" spinCount="100000" sheet="1" selectLockedCells="1"/>
  <mergeCells count="444">
    <mergeCell ref="E260:AV260"/>
    <mergeCell ref="E264:AV264"/>
    <mergeCell ref="B166:AW166"/>
    <mergeCell ref="P109:V109"/>
    <mergeCell ref="P111:V111"/>
    <mergeCell ref="P113:V113"/>
    <mergeCell ref="H102:Z102"/>
    <mergeCell ref="AB102:AT102"/>
    <mergeCell ref="H142:Z142"/>
    <mergeCell ref="AB142:AT142"/>
    <mergeCell ref="B139:AW139"/>
    <mergeCell ref="L140:S140"/>
    <mergeCell ref="T140:Z140"/>
    <mergeCell ref="B138:AW138"/>
    <mergeCell ref="P123:AU123"/>
    <mergeCell ref="N134:R134"/>
    <mergeCell ref="P159:AU159"/>
    <mergeCell ref="P161:V161"/>
    <mergeCell ref="P163:AU163"/>
    <mergeCell ref="P165:AU165"/>
    <mergeCell ref="K130:R130"/>
    <mergeCell ref="AL132:AM132"/>
    <mergeCell ref="B218:AV218"/>
    <mergeCell ref="R189:Y189"/>
    <mergeCell ref="B300:AV301"/>
    <mergeCell ref="B298:AV298"/>
    <mergeCell ref="B240:AA240"/>
    <mergeCell ref="B239:AA239"/>
    <mergeCell ref="B208:AW208"/>
    <mergeCell ref="B216:AV216"/>
    <mergeCell ref="B237:AW237"/>
    <mergeCell ref="AB241:AW241"/>
    <mergeCell ref="C291:T291"/>
    <mergeCell ref="F280:J280"/>
    <mergeCell ref="O280:T280"/>
    <mergeCell ref="V280:X280"/>
    <mergeCell ref="Y280:AV280"/>
    <mergeCell ref="B276:N278"/>
    <mergeCell ref="O276:AV276"/>
    <mergeCell ref="B267:AW267"/>
    <mergeCell ref="O278:AV278"/>
    <mergeCell ref="B241:AA241"/>
    <mergeCell ref="G283:AV283"/>
    <mergeCell ref="B212:AV214"/>
    <mergeCell ref="B243:AW243"/>
    <mergeCell ref="E256:AV258"/>
    <mergeCell ref="E250:AV251"/>
    <mergeCell ref="E253:AV254"/>
    <mergeCell ref="C107:AU107"/>
    <mergeCell ref="Y130:AK130"/>
    <mergeCell ref="H132:R132"/>
    <mergeCell ref="AL130:AS130"/>
    <mergeCell ref="B104:AV104"/>
    <mergeCell ref="P125:AU125"/>
    <mergeCell ref="AE94:AR94"/>
    <mergeCell ref="B99:AW99"/>
    <mergeCell ref="L94:AD94"/>
    <mergeCell ref="P115:AU115"/>
    <mergeCell ref="P117:AU117"/>
    <mergeCell ref="P119:AU119"/>
    <mergeCell ref="P121:V121"/>
    <mergeCell ref="L100:S100"/>
    <mergeCell ref="T100:Z100"/>
    <mergeCell ref="U43:AC43"/>
    <mergeCell ref="P53:Q53"/>
    <mergeCell ref="AN48:AQ48"/>
    <mergeCell ref="P48:S48"/>
    <mergeCell ref="P50:S50"/>
    <mergeCell ref="AO50:AR50"/>
    <mergeCell ref="V33:W33"/>
    <mergeCell ref="T33:U33"/>
    <mergeCell ref="AS94:AV94"/>
    <mergeCell ref="AP33:AR33"/>
    <mergeCell ref="AH35:AI35"/>
    <mergeCell ref="AJ35:AK35"/>
    <mergeCell ref="AM35:AO35"/>
    <mergeCell ref="AP35:AR35"/>
    <mergeCell ref="P55:Q55"/>
    <mergeCell ref="S55:AV55"/>
    <mergeCell ref="T191:AA191"/>
    <mergeCell ref="H172:R172"/>
    <mergeCell ref="B144:AV144"/>
    <mergeCell ref="R89:S89"/>
    <mergeCell ref="AF92:AH92"/>
    <mergeCell ref="AE57:AF57"/>
    <mergeCell ref="AH57:AV57"/>
    <mergeCell ref="V22:X22"/>
    <mergeCell ref="Y22:AV22"/>
    <mergeCell ref="O22:T22"/>
    <mergeCell ref="V27:W27"/>
    <mergeCell ref="AS46:AV51"/>
    <mergeCell ref="C147:AU147"/>
    <mergeCell ref="P149:V149"/>
    <mergeCell ref="Q61:V61"/>
    <mergeCell ref="AN61:AS61"/>
    <mergeCell ref="O96:P96"/>
    <mergeCell ref="U53:AV53"/>
    <mergeCell ref="AD43:AE43"/>
    <mergeCell ref="I43:S43"/>
    <mergeCell ref="AB35:AD35"/>
    <mergeCell ref="AH33:AI33"/>
    <mergeCell ref="AJ33:AK33"/>
    <mergeCell ref="AM33:AO33"/>
    <mergeCell ref="L41:O41"/>
    <mergeCell ref="AJ37:AM37"/>
    <mergeCell ref="AH39:AJ39"/>
    <mergeCell ref="E20:N20"/>
    <mergeCell ref="Y33:AA33"/>
    <mergeCell ref="AB33:AD33"/>
    <mergeCell ref="T35:U35"/>
    <mergeCell ref="V35:W35"/>
    <mergeCell ref="Y35:AA35"/>
    <mergeCell ref="N14:AV14"/>
    <mergeCell ref="J12:O12"/>
    <mergeCell ref="AR18:AV18"/>
    <mergeCell ref="AL18:AQ18"/>
    <mergeCell ref="K16:Q16"/>
    <mergeCell ref="AC16:AI16"/>
    <mergeCell ref="AN20:AO20"/>
    <mergeCell ref="AQ20:AR20"/>
    <mergeCell ref="AI18:AK18"/>
    <mergeCell ref="AE18:AH18"/>
    <mergeCell ref="G18:AD18"/>
    <mergeCell ref="AK20:AM20"/>
    <mergeCell ref="P20:S20"/>
    <mergeCell ref="T20:AI20"/>
    <mergeCell ref="AS20:AV20"/>
    <mergeCell ref="E16:F16"/>
    <mergeCell ref="G285:AV285"/>
    <mergeCell ref="G287:AV287"/>
    <mergeCell ref="Q274:AV274"/>
    <mergeCell ref="V291:AV291"/>
    <mergeCell ref="O269:AV269"/>
    <mergeCell ref="F271:J271"/>
    <mergeCell ref="O271:T271"/>
    <mergeCell ref="V271:X271"/>
    <mergeCell ref="Y271:AV271"/>
    <mergeCell ref="E245:AA245"/>
    <mergeCell ref="AB245:AC245"/>
    <mergeCell ref="E247:AV248"/>
    <mergeCell ref="B232:AV232"/>
    <mergeCell ref="B64:AW64"/>
    <mergeCell ref="B66:AU66"/>
    <mergeCell ref="B74:AV74"/>
    <mergeCell ref="B76:AV76"/>
    <mergeCell ref="B78:AV78"/>
    <mergeCell ref="B80:AV80"/>
    <mergeCell ref="B82:AV82"/>
    <mergeCell ref="B84:AV84"/>
    <mergeCell ref="B210:AV210"/>
    <mergeCell ref="U92:W92"/>
    <mergeCell ref="B294:AW294"/>
    <mergeCell ref="B295:AV295"/>
    <mergeCell ref="B296:AV297"/>
    <mergeCell ref="L2:AS4"/>
    <mergeCell ref="B127:AW127"/>
    <mergeCell ref="B126:AW126"/>
    <mergeCell ref="L5:AV5"/>
    <mergeCell ref="T27:U27"/>
    <mergeCell ref="I46:AN46"/>
    <mergeCell ref="N35:P35"/>
    <mergeCell ref="X27:AB27"/>
    <mergeCell ref="AC27:AE27"/>
    <mergeCell ref="AG27:AK27"/>
    <mergeCell ref="AL27:AN27"/>
    <mergeCell ref="O33:P33"/>
    <mergeCell ref="N37:Q37"/>
    <mergeCell ref="B7:AW8"/>
    <mergeCell ref="Y29:AE29"/>
    <mergeCell ref="AG29:AN29"/>
    <mergeCell ref="B10:AV10"/>
    <mergeCell ref="B25:AV25"/>
    <mergeCell ref="B87:AV87"/>
    <mergeCell ref="F22:J22"/>
    <mergeCell ref="B98:AW98"/>
    <mergeCell ref="C325:N325"/>
    <mergeCell ref="C326:N326"/>
    <mergeCell ref="C327:N327"/>
    <mergeCell ref="C328:N328"/>
    <mergeCell ref="C329:N329"/>
    <mergeCell ref="C330:N330"/>
    <mergeCell ref="C320:N320"/>
    <mergeCell ref="C321:N321"/>
    <mergeCell ref="C315:N315"/>
    <mergeCell ref="C316:N316"/>
    <mergeCell ref="C317:N317"/>
    <mergeCell ref="C318:N318"/>
    <mergeCell ref="C319:N319"/>
    <mergeCell ref="C305:N305"/>
    <mergeCell ref="C322:N322"/>
    <mergeCell ref="C302:N302"/>
    <mergeCell ref="B177:AW177"/>
    <mergeCell ref="R179:V179"/>
    <mergeCell ref="R181:V181"/>
    <mergeCell ref="O183:S183"/>
    <mergeCell ref="AJ183:AN183"/>
    <mergeCell ref="P185:W185"/>
    <mergeCell ref="P187:W187"/>
    <mergeCell ref="R311:T311"/>
    <mergeCell ref="R312:T312"/>
    <mergeCell ref="R313:T313"/>
    <mergeCell ref="R314:T314"/>
    <mergeCell ref="R315:T315"/>
    <mergeCell ref="R316:T316"/>
    <mergeCell ref="R317:T317"/>
    <mergeCell ref="R318:T318"/>
    <mergeCell ref="R319:T319"/>
    <mergeCell ref="O302:Q302"/>
    <mergeCell ref="R302:T302"/>
    <mergeCell ref="U302:AD302"/>
    <mergeCell ref="AQ302:AV302"/>
    <mergeCell ref="AL302:AP302"/>
    <mergeCell ref="O325:Q325"/>
    <mergeCell ref="O326:Q326"/>
    <mergeCell ref="O327:Q327"/>
    <mergeCell ref="O328:Q328"/>
    <mergeCell ref="O329:Q329"/>
    <mergeCell ref="O330:Q330"/>
    <mergeCell ref="O331:Q331"/>
    <mergeCell ref="O332:Q332"/>
    <mergeCell ref="R329:T329"/>
    <mergeCell ref="R330:T330"/>
    <mergeCell ref="R331:T331"/>
    <mergeCell ref="R332:T332"/>
    <mergeCell ref="R324:T324"/>
    <mergeCell ref="R325:T325"/>
    <mergeCell ref="R326:T326"/>
    <mergeCell ref="R327:T327"/>
    <mergeCell ref="R328:T328"/>
    <mergeCell ref="U320:AD320"/>
    <mergeCell ref="U321:AD321"/>
    <mergeCell ref="U322:AD322"/>
    <mergeCell ref="U323:AD323"/>
    <mergeCell ref="U324:AD324"/>
    <mergeCell ref="U325:AD325"/>
    <mergeCell ref="R320:T320"/>
    <mergeCell ref="R321:T321"/>
    <mergeCell ref="R322:T322"/>
    <mergeCell ref="R323:T323"/>
    <mergeCell ref="U326:AD326"/>
    <mergeCell ref="U327:AD327"/>
    <mergeCell ref="U328:AD328"/>
    <mergeCell ref="AE302:AK302"/>
    <mergeCell ref="C303:N303"/>
    <mergeCell ref="C304:N304"/>
    <mergeCell ref="AL303:AP303"/>
    <mergeCell ref="AL304:AP304"/>
    <mergeCell ref="AQ303:AV303"/>
    <mergeCell ref="AQ304:AV304"/>
    <mergeCell ref="O303:Q303"/>
    <mergeCell ref="O304:Q304"/>
    <mergeCell ref="AE303:AK303"/>
    <mergeCell ref="R303:T303"/>
    <mergeCell ref="R304:T304"/>
    <mergeCell ref="U303:AD303"/>
    <mergeCell ref="AE304:AK304"/>
    <mergeCell ref="U304:AD304"/>
    <mergeCell ref="O321:Q321"/>
    <mergeCell ref="O322:Q322"/>
    <mergeCell ref="O323:Q323"/>
    <mergeCell ref="O324:Q324"/>
    <mergeCell ref="C306:N306"/>
    <mergeCell ref="C307:N307"/>
    <mergeCell ref="C308:N308"/>
    <mergeCell ref="C309:N309"/>
    <mergeCell ref="C310:N310"/>
    <mergeCell ref="C311:N311"/>
    <mergeCell ref="C312:N312"/>
    <mergeCell ref="C313:N313"/>
    <mergeCell ref="C314:N314"/>
    <mergeCell ref="C323:N323"/>
    <mergeCell ref="C324:N324"/>
    <mergeCell ref="O312:Q312"/>
    <mergeCell ref="O313:Q313"/>
    <mergeCell ref="O314:Q314"/>
    <mergeCell ref="O315:Q315"/>
    <mergeCell ref="O316:Q316"/>
    <mergeCell ref="O317:Q317"/>
    <mergeCell ref="O318:Q318"/>
    <mergeCell ref="O319:Q319"/>
    <mergeCell ref="O320:Q320"/>
    <mergeCell ref="AE312:AK312"/>
    <mergeCell ref="AE313:AK313"/>
    <mergeCell ref="AE306:AK306"/>
    <mergeCell ref="AE307:AK307"/>
    <mergeCell ref="AE308:AK308"/>
    <mergeCell ref="AE309:AK309"/>
    <mergeCell ref="AE310:AK310"/>
    <mergeCell ref="AE311:AK311"/>
    <mergeCell ref="R305:T305"/>
    <mergeCell ref="R306:T306"/>
    <mergeCell ref="R307:T307"/>
    <mergeCell ref="R308:T308"/>
    <mergeCell ref="R309:T309"/>
    <mergeCell ref="R310:T310"/>
    <mergeCell ref="U313:AD313"/>
    <mergeCell ref="U311:AD311"/>
    <mergeCell ref="U312:AD312"/>
    <mergeCell ref="AE305:AK305"/>
    <mergeCell ref="U305:AD305"/>
    <mergeCell ref="U306:AD306"/>
    <mergeCell ref="U307:AD307"/>
    <mergeCell ref="U308:AD308"/>
    <mergeCell ref="U309:AD309"/>
    <mergeCell ref="U310:AD310"/>
    <mergeCell ref="U314:AD314"/>
    <mergeCell ref="U315:AD315"/>
    <mergeCell ref="U316:AD316"/>
    <mergeCell ref="U317:AD317"/>
    <mergeCell ref="U318:AD318"/>
    <mergeCell ref="U319:AD319"/>
    <mergeCell ref="O305:Q305"/>
    <mergeCell ref="O306:Q306"/>
    <mergeCell ref="O307:Q307"/>
    <mergeCell ref="O308:Q308"/>
    <mergeCell ref="O309:Q309"/>
    <mergeCell ref="O310:Q310"/>
    <mergeCell ref="O311:Q311"/>
    <mergeCell ref="AE325:AK325"/>
    <mergeCell ref="AE326:AK326"/>
    <mergeCell ref="AE327:AK327"/>
    <mergeCell ref="AQ326:AV326"/>
    <mergeCell ref="AQ327:AV327"/>
    <mergeCell ref="AE314:AK314"/>
    <mergeCell ref="AE315:AK315"/>
    <mergeCell ref="AE316:AK316"/>
    <mergeCell ref="AE317:AK317"/>
    <mergeCell ref="AE318:AK318"/>
    <mergeCell ref="AE319:AK319"/>
    <mergeCell ref="AL327:AP327"/>
    <mergeCell ref="AQ311:AV311"/>
    <mergeCell ref="AE320:AK320"/>
    <mergeCell ref="AE321:AK321"/>
    <mergeCell ref="AE322:AK322"/>
    <mergeCell ref="AE323:AK323"/>
    <mergeCell ref="AE324:AK324"/>
    <mergeCell ref="AQ318:AV318"/>
    <mergeCell ref="AQ319:AV319"/>
    <mergeCell ref="AQ320:AV320"/>
    <mergeCell ref="AQ312:AV312"/>
    <mergeCell ref="AQ313:AV313"/>
    <mergeCell ref="AQ314:AV314"/>
    <mergeCell ref="AQ315:AV315"/>
    <mergeCell ref="AQ316:AV316"/>
    <mergeCell ref="AQ317:AV317"/>
    <mergeCell ref="AQ323:AV323"/>
    <mergeCell ref="AQ324:AV324"/>
    <mergeCell ref="AL315:AP315"/>
    <mergeCell ref="AL316:AP316"/>
    <mergeCell ref="AL317:AP317"/>
    <mergeCell ref="AL318:AP318"/>
    <mergeCell ref="AL319:AP319"/>
    <mergeCell ref="AL320:AP320"/>
    <mergeCell ref="AQ321:AV321"/>
    <mergeCell ref="AQ306:AV306"/>
    <mergeCell ref="AQ307:AV307"/>
    <mergeCell ref="AQ308:AV308"/>
    <mergeCell ref="AQ309:AV309"/>
    <mergeCell ref="AQ310:AV310"/>
    <mergeCell ref="AQ330:AV330"/>
    <mergeCell ref="AL321:AP321"/>
    <mergeCell ref="AL322:AP322"/>
    <mergeCell ref="AL305:AP305"/>
    <mergeCell ref="AL306:AP306"/>
    <mergeCell ref="AL307:AP307"/>
    <mergeCell ref="AL308:AP308"/>
    <mergeCell ref="AL309:AP309"/>
    <mergeCell ref="AL310:AP310"/>
    <mergeCell ref="AL311:AP311"/>
    <mergeCell ref="AQ325:AV325"/>
    <mergeCell ref="AL323:AP323"/>
    <mergeCell ref="AL324:AP324"/>
    <mergeCell ref="AL325:AP325"/>
    <mergeCell ref="AL326:AP326"/>
    <mergeCell ref="AQ322:AV322"/>
    <mergeCell ref="AL312:AP312"/>
    <mergeCell ref="AL313:AP313"/>
    <mergeCell ref="AL314:AP314"/>
    <mergeCell ref="C331:N331"/>
    <mergeCell ref="C332:N332"/>
    <mergeCell ref="U330:AD330"/>
    <mergeCell ref="AE328:AK328"/>
    <mergeCell ref="U329:AD329"/>
    <mergeCell ref="U331:AD331"/>
    <mergeCell ref="U332:AD332"/>
    <mergeCell ref="AQ328:AV328"/>
    <mergeCell ref="AQ329:AV329"/>
    <mergeCell ref="AL332:AP332"/>
    <mergeCell ref="AL328:AP328"/>
    <mergeCell ref="AL329:AP329"/>
    <mergeCell ref="AL330:AP330"/>
    <mergeCell ref="AL331:AP331"/>
    <mergeCell ref="AE329:AK329"/>
    <mergeCell ref="AE330:AK330"/>
    <mergeCell ref="AE331:AK331"/>
    <mergeCell ref="AE332:AK332"/>
    <mergeCell ref="AQ305:AV305"/>
    <mergeCell ref="C375:T375"/>
    <mergeCell ref="V375:AV375"/>
    <mergeCell ref="E336:AS338"/>
    <mergeCell ref="B339:AV339"/>
    <mergeCell ref="C347:AU347"/>
    <mergeCell ref="C351:AU351"/>
    <mergeCell ref="B353:AG353"/>
    <mergeCell ref="C354:AU354"/>
    <mergeCell ref="B356:AG356"/>
    <mergeCell ref="C358:AU358"/>
    <mergeCell ref="B360:AF360"/>
    <mergeCell ref="C362:AU362"/>
    <mergeCell ref="B363:AV363"/>
    <mergeCell ref="B367:AW367"/>
    <mergeCell ref="B341:AW342"/>
    <mergeCell ref="B343:AW343"/>
    <mergeCell ref="B345:AN345"/>
    <mergeCell ref="B349:AK349"/>
    <mergeCell ref="D370:AS370"/>
    <mergeCell ref="AQ331:AV331"/>
    <mergeCell ref="AQ332:AV332"/>
    <mergeCell ref="B333:AP333"/>
    <mergeCell ref="AQ333:AV333"/>
    <mergeCell ref="B224:AV224"/>
    <mergeCell ref="B226:AV226"/>
    <mergeCell ref="B228:AV228"/>
    <mergeCell ref="B230:AV230"/>
    <mergeCell ref="AI59:AJ59"/>
    <mergeCell ref="AL59:AV59"/>
    <mergeCell ref="P151:V151"/>
    <mergeCell ref="B198:AW198"/>
    <mergeCell ref="B200:AV201"/>
    <mergeCell ref="M205:AV205"/>
    <mergeCell ref="U195:AB195"/>
    <mergeCell ref="K170:R170"/>
    <mergeCell ref="AL172:AM172"/>
    <mergeCell ref="N174:R174"/>
    <mergeCell ref="T193:AA193"/>
    <mergeCell ref="AR92:AT92"/>
    <mergeCell ref="P153:V153"/>
    <mergeCell ref="P155:AU155"/>
    <mergeCell ref="P157:AU157"/>
    <mergeCell ref="B220:AV220"/>
    <mergeCell ref="B222:AV222"/>
    <mergeCell ref="Y170:AK170"/>
    <mergeCell ref="AL170:AS170"/>
    <mergeCell ref="B167:AW167"/>
  </mergeCells>
  <conditionalFormatting sqref="A33:A35">
    <cfRule type="expression" dxfId="59" priority="80">
      <formula>$E$16="B"</formula>
    </cfRule>
  </conditionalFormatting>
  <conditionalFormatting sqref="A35">
    <cfRule type="expression" dxfId="58" priority="112">
      <formula>Grupo="B"</formula>
    </cfRule>
  </conditionalFormatting>
  <conditionalFormatting sqref="A107:A125">
    <cfRule type="expression" dxfId="57" priority="185">
      <formula>$L$100=""</formula>
    </cfRule>
  </conditionalFormatting>
  <conditionalFormatting sqref="A138:AX175">
    <cfRule type="expression" dxfId="56" priority="23">
      <formula>$R$89&lt;&gt;2</formula>
    </cfRule>
  </conditionalFormatting>
  <conditionalFormatting sqref="A336:AX377">
    <cfRule type="expression" dxfId="55" priority="22">
      <formula>NOT(OR(TipoFonte="Hidráulica",TipoFonte2="Hidráulica"))</formula>
    </cfRule>
  </conditionalFormatting>
  <conditionalFormatting sqref="B7:AW8">
    <cfRule type="cellIs" dxfId="54" priority="120" operator="notEqual">
      <formula>""</formula>
    </cfRule>
  </conditionalFormatting>
  <conditionalFormatting sqref="B341:AW342">
    <cfRule type="cellIs" dxfId="53" priority="37" operator="notEqual">
      <formula>""</formula>
    </cfRule>
  </conditionalFormatting>
  <conditionalFormatting sqref="C107:AU107">
    <cfRule type="expression" dxfId="51" priority="110">
      <formula>$C$107=""</formula>
    </cfRule>
  </conditionalFormatting>
  <conditionalFormatting sqref="C107:AU125">
    <cfRule type="expression" dxfId="50" priority="184">
      <formula>$L$100=""</formula>
    </cfRule>
  </conditionalFormatting>
  <conditionalFormatting sqref="C147:AU147">
    <cfRule type="expression" dxfId="49" priority="31">
      <formula>$C$107=""</formula>
    </cfRule>
  </conditionalFormatting>
  <conditionalFormatting sqref="C147:AU165">
    <cfRule type="expression" dxfId="48" priority="33">
      <formula>$L$100=""</formula>
    </cfRule>
  </conditionalFormatting>
  <conditionalFormatting sqref="C181:AU195">
    <cfRule type="expression" dxfId="47" priority="38">
      <formula>OR($R$179="",$R$179="Não")</formula>
    </cfRule>
  </conditionalFormatting>
  <conditionalFormatting sqref="C183:AV183">
    <cfRule type="expression" dxfId="45" priority="39">
      <formula>OR($R$181="",$R$181="Não")</formula>
    </cfRule>
  </conditionalFormatting>
  <conditionalFormatting sqref="O48">
    <cfRule type="expression" dxfId="41" priority="69">
      <formula>$B$48=""</formula>
    </cfRule>
  </conditionalFormatting>
  <conditionalFormatting sqref="O125:AV125">
    <cfRule type="expression" dxfId="39" priority="186">
      <formula>$L$100="Hidráulica"</formula>
    </cfRule>
  </conditionalFormatting>
  <conditionalFormatting sqref="O165:AV165">
    <cfRule type="expression" dxfId="38" priority="34">
      <formula>$L$100="Hidráulica"</formula>
    </cfRule>
  </conditionalFormatting>
  <conditionalFormatting sqref="P53:Q53 P56:Q56">
    <cfRule type="expression" dxfId="37" priority="60">
      <formula>$U$53="&lt;-- Para SE Nº 1 não pode haver mudança de local do Padrão de Entrada. Altere..."</formula>
    </cfRule>
    <cfRule type="expression" dxfId="36" priority="124">
      <formula>OR($I$46="",$I$46="Ligação de Nova Unidade Consumidora COM Geração Distribuída")</formula>
    </cfRule>
  </conditionalFormatting>
  <conditionalFormatting sqref="P48:S48">
    <cfRule type="expression" dxfId="35" priority="199">
      <formula>$P$48&gt;$U$92</formula>
    </cfRule>
  </conditionalFormatting>
  <conditionalFormatting sqref="P123:AU125">
    <cfRule type="expression" dxfId="32" priority="79">
      <formula>OR(TipoFonte="Eólica",TipoFonte="Biomassa",TipoFonte="Cogeração Qualificada")</formula>
    </cfRule>
  </conditionalFormatting>
  <conditionalFormatting sqref="P163:AU165">
    <cfRule type="expression" dxfId="31" priority="30">
      <formula>OR(TipoFonte="Eólica",TipoFonte="Biomassa",TipoFonte="Cogeração Qualificada")</formula>
    </cfRule>
  </conditionalFormatting>
  <conditionalFormatting sqref="Q202:V202">
    <cfRule type="expression" dxfId="30" priority="13">
      <formula>OR($R$136="",$R$136="Não")</formula>
    </cfRule>
  </conditionalFormatting>
  <conditionalFormatting sqref="T100:Z100">
    <cfRule type="expression" dxfId="29" priority="130">
      <formula>$L$100&lt;&gt;"Outra (especificar)"</formula>
    </cfRule>
  </conditionalFormatting>
  <conditionalFormatting sqref="T140:Z140">
    <cfRule type="expression" dxfId="28" priority="32">
      <formula>$L$100&lt;&gt;"Outra (especificar)"</formula>
    </cfRule>
  </conditionalFormatting>
  <conditionalFormatting sqref="T33:AE33">
    <cfRule type="expression" dxfId="27" priority="56">
      <formula>AND(OR($O$33="Nº 2",$O$33="Nº 4"),$N$35=1)</formula>
    </cfRule>
  </conditionalFormatting>
  <conditionalFormatting sqref="T33:AE35">
    <cfRule type="expression" dxfId="26" priority="54">
      <formula>$N$35=""</formula>
    </cfRule>
  </conditionalFormatting>
  <conditionalFormatting sqref="T33:AT35">
    <cfRule type="expression" dxfId="25" priority="55">
      <formula>OR($O$33="Nº 1",$O$33="Nº 5",$O$33="Nº 8")</formula>
    </cfRule>
  </conditionalFormatting>
  <conditionalFormatting sqref="U43:AG43">
    <cfRule type="expression" dxfId="23" priority="71">
      <formula>$U$43=""</formula>
    </cfRule>
  </conditionalFormatting>
  <conditionalFormatting sqref="U53:AV53 U57:AC59">
    <cfRule type="expression" dxfId="22" priority="59">
      <formula>AND($O$33&lt;&gt;"Nº 1",$P$53="Sim")</formula>
    </cfRule>
    <cfRule type="expression" dxfId="21" priority="183">
      <formula>OR($P$53="Não",$P$53="")</formula>
    </cfRule>
  </conditionalFormatting>
  <conditionalFormatting sqref="AH33:AS33">
    <cfRule type="expression" dxfId="12" priority="57">
      <formula>AND(OR($O$33="Nº 2",$O$33="Nº 4"),$N$35&lt;=2)</formula>
    </cfRule>
  </conditionalFormatting>
  <conditionalFormatting sqref="AH35:AS35">
    <cfRule type="expression" dxfId="11" priority="58">
      <formula>AND(OR($O$33="Nº 2",$O$33="Nº 4"),$N$35&lt;=3)</formula>
    </cfRule>
  </conditionalFormatting>
  <conditionalFormatting sqref="AJ92:AV92">
    <cfRule type="expression" dxfId="6" priority="20">
      <formula>$R$89=1</formula>
    </cfRule>
  </conditionalFormatting>
  <conditionalFormatting sqref="AM48 AR48">
    <cfRule type="expression" dxfId="5" priority="125">
      <formula>$AC$48=""</formula>
    </cfRule>
  </conditionalFormatting>
  <conditionalFormatting sqref="AN48:AQ48">
    <cfRule type="expression" dxfId="4" priority="16">
      <formula>OR(I46="Conexão de GD em Unidade Consumidora Existente SEM Alteração de Demanda Contratada",I46="Ligação de Nova Unidade Consumidora COM Geração Distribuída",I46="Conexão de GD em Unidade Consumidora Existente COM Alteração de Demanda Contratada")</formula>
    </cfRule>
  </conditionalFormatting>
  <conditionalFormatting sqref="AO50:AR50">
    <cfRule type="expression" dxfId="3" priority="14">
      <formula>OR(I46="Conexão de GD em Unidade Consumidora Existente SEM Alteração de Demanda Contratada",I46="Ligação de Nova Unidade Consumidora COM Geração Distribuída")</formula>
    </cfRule>
  </conditionalFormatting>
  <dataValidations xWindow="616" yWindow="687" count="29">
    <dataValidation type="list" allowBlank="1" showInputMessage="1" showErrorMessage="1" sqref="X42" xr:uid="{00000000-0002-0000-0000-000002000000}">
      <formula1>"Aéreo,Subterrâneo"</formula1>
    </dataValidation>
    <dataValidation type="list" allowBlank="1" showInputMessage="1" showErrorMessage="1" sqref="L95:L96" xr:uid="{00000000-0002-0000-0000-000004000000}">
      <formula1>"Consumo Local,Autoconsumo Remoto,Geração Compartilhada,Empreendimento de Múltiplas Unidades Consumidoras"</formula1>
    </dataValidation>
    <dataValidation type="whole" operator="greaterThan" allowBlank="1" showInputMessage="1" showErrorMessage="1" prompt="Apenas números" sqref="AC16:AI17" xr:uid="{00000000-0002-0000-0000-000005000000}">
      <formula1>0</formula1>
    </dataValidation>
    <dataValidation type="whole" allowBlank="1" showInputMessage="1" showErrorMessage="1" errorTitle="Valor não permitido" error="O número deve estar entre 7000000000 e 7999999999" promptTitle="Número do Cliente" prompt="Número de identificação do consumidor na distribuidora. É iniciado, sempre, pelo dígito 7" sqref="I12" xr:uid="{00000000-0002-0000-0000-000006000000}">
      <formula1>7000000000</formula1>
      <formula2>7999999999</formula2>
    </dataValidation>
    <dataValidation type="whole" allowBlank="1" showInputMessage="1" showErrorMessage="1" promptTitle="Número de instalação" prompt="Número de identificação da unidade consumidora na distribuidora. É iniciado, sempre, pelo dígito 3._x000a__x000a_Se ligação nova, não preencher este campo." sqref="J12 Q61" xr:uid="{00000000-0002-0000-0000-000007000000}">
      <formula1>3000000000</formula1>
      <formula2>3999999999</formula2>
    </dataValidation>
    <dataValidation type="list" allowBlank="1" showInputMessage="1" showErrorMessage="1" sqref="AN20:AO20" xr:uid="{00000000-0002-0000-0000-000008000000}">
      <formula1>"MG"</formula1>
    </dataValidation>
    <dataValidation type="list" allowBlank="1" showInputMessage="1" showErrorMessage="1" sqref="K16" xr:uid="{00000000-0002-0000-0000-000009000000}">
      <formula1>"Residencial,Industrial,Comercial,Rural,Poder Público,Iluminação Pública,Serviço Público"</formula1>
    </dataValidation>
    <dataValidation type="list" allowBlank="1" showInputMessage="1" showErrorMessage="1" sqref="V27:W27 AD33 AH28:AI32 AD35 AH34:AI34 AH36:AI38" xr:uid="{00000000-0002-0000-0000-00000B000000}">
      <formula1>"22,23,24"</formula1>
    </dataValidation>
    <dataValidation type="list" allowBlank="1" showInputMessage="1" showErrorMessage="1" sqref="O33:P33" xr:uid="{00000000-0002-0000-0000-00000E000000}">
      <formula1>"Nº 1,Nº 2,Nº 4,Nº 5,Nº 8"</formula1>
    </dataValidation>
    <dataValidation allowBlank="1" showInputMessage="1" showErrorMessage="1" prompt="GGG.FF.UF.999999-9.VV" sqref="K130:R130 K170:R170" xr:uid="{00000000-0002-0000-0000-000010000000}"/>
    <dataValidation allowBlank="1" showInputMessage="1" showErrorMessage="1" prompt="Instalação geradora + Instalações recebedoras" sqref="AS94:AV96" xr:uid="{00000000-0002-0000-0000-000011000000}"/>
    <dataValidation type="whole" allowBlank="1" showInputMessage="1" showErrorMessage="1" prompt="Apenas números" sqref="AS20:AV20" xr:uid="{00000000-0002-0000-0000-000012000000}">
      <formula1>0</formula1>
      <formula2>99999999</formula2>
    </dataValidation>
    <dataValidation type="whole" errorStyle="warning" allowBlank="1" showInputMessage="1" showErrorMessage="1" errorTitle="Informar telefone" error="Informe o telefone com 10 dígitos" promptTitle="Telefone" prompt="Informe apenas os números de seu telefone com o DDD" sqref="F22:J22 F280:J281 F271:J271" xr:uid="{00000000-0002-0000-0000-000013000000}">
      <formula1>1000000000</formula1>
      <formula2>9999999999</formula2>
    </dataValidation>
    <dataValidation type="whole" allowBlank="1" showInputMessage="1" showErrorMessage="1" promptTitle="Celular" prompt="Informe apenas os números de seu celular com o DDD" sqref="O22:T22 O280:T281 O271:T271" xr:uid="{00000000-0002-0000-0000-000014000000}">
      <formula1>10000000000</formula1>
      <formula2>99999999999</formula2>
    </dataValidation>
    <dataValidation type="list" allowBlank="1" showInputMessage="1" showErrorMessage="1" sqref="I46:AN46" xr:uid="{3948EA52-3C56-4B8A-A6FF-9CC4A6D61EF3}">
      <formula1>Tipos_Solicitação</formula1>
    </dataValidation>
    <dataValidation type="list" allowBlank="1" showInputMessage="1" showErrorMessage="1" sqref="L41:O41" xr:uid="{CD5D3885-4D6C-4C81-8087-B248BC915CB5}">
      <formula1>TensãoGrupo</formula1>
    </dataValidation>
    <dataValidation allowBlank="1" showInputMessage="1" showErrorMessage="1" promptTitle="Atenção" prompt="Campo com preenchimento automático." sqref="U92:W92" xr:uid="{27FB734E-82D4-4996-A40B-F666D0BA1041}"/>
    <dataValidation type="whole" allowBlank="1" showInputMessage="1" showErrorMessage="1" sqref="AC27:AE27" xr:uid="{CD69C790-0998-42FC-9CAA-B7565A1C9D45}">
      <formula1>E_Mínimo</formula1>
      <formula2>E_Máximo</formula2>
    </dataValidation>
    <dataValidation type="whole" allowBlank="1" showInputMessage="1" showErrorMessage="1" sqref="AL27:AN27" xr:uid="{75D933B6-DA3F-4B97-9AE6-01E82E9AE6CA}">
      <formula1>N_Mínimo</formula1>
      <formula2>N_Máximo</formula2>
    </dataValidation>
    <dataValidation type="list" allowBlank="1" showInputMessage="1" showErrorMessage="1" promptTitle="Transformadores Grupo A" prompt="Se o tipo de SE for Nº 1, Nº 5 ou Nº 8, indique aqui a potência do transformador._x000a__x000a_Se o tipo de SE for Nº 2 ou Nº 4, indique aqui a quantidade de potência distinta na SE. Ex: Se tiver trafo de 75 kVA e 150 kVA, indique a quantidade 2." sqref="N35:P35" xr:uid="{FFC70F06-75CC-4674-93C2-C1FF70FBEBF0}">
      <formula1>TrafosPorSE</formula1>
    </dataValidation>
    <dataValidation type="list" allowBlank="1" showInputMessage="1" showErrorMessage="1" sqref="L100:S100 L140:S140" xr:uid="{D74826A0-4025-43C6-B317-A52083B44014}">
      <formula1>"Solar,Hidráulica,Biomassa,Cogeração Qualificada,Eólica"</formula1>
    </dataValidation>
    <dataValidation type="list" allowBlank="1" showInputMessage="1" showErrorMessage="1" sqref="AI59:AJ59 O96:P96 AB245:AC245 AE57:AF59 Q55:Q56 Q53 P53 P55:P56" xr:uid="{82E90D37-1D64-4C1E-9B30-6C74D1B3FCE6}">
      <formula1>MudançaLocal</formula1>
    </dataValidation>
    <dataValidation allowBlank="1" showInputMessage="1" showErrorMessage="1" promptTitle="Qte cubículos" prompt="Em caso de subestação compartilhada informe aqui a quantidade de cubículos." sqref="AD43:AE43" xr:uid="{1D7F8B36-2883-4741-8161-BD44D606F18A}"/>
    <dataValidation type="list" allowBlank="1" showInputMessage="1" showErrorMessage="1" sqref="N37" xr:uid="{CDB35BBA-12E2-45DC-84F2-C1C52256966A}">
      <formula1>Tipos_Lig_Trafos</formula1>
    </dataValidation>
    <dataValidation allowBlank="1" showInputMessage="1" showErrorMessage="1" promptTitle="Assin. Consumidor/Responsável" prompt="Neste campo deve conter uma assinatura de próprio punho ou uma assinatura digital com certificação válida." sqref="V291:AV291 V375:AV375" xr:uid="{33C3C3FE-5BD1-4754-A58E-A7F303412BD0}"/>
    <dataValidation allowBlank="1" showInputMessage="1" showErrorMessage="1" prompt="Caso seja central geradora nova, informar estimativa de produção mensal (12 meses). Se for central geradora existente, informar valores mensais verificados (12 meses)" sqref="U195:AB195" xr:uid="{E70469C6-4CFB-4F45-BD37-BFB7A96B0ADE}"/>
    <dataValidation type="decimal" showInputMessage="1" showErrorMessage="1" promptTitle="Atenção" prompt="Campo com preenchimento automático." sqref="AR92:AT92 AF92:AH92" xr:uid="{6AA11196-E8BA-4084-B811-3FCA386F0041}">
      <formula1>75</formula1>
      <formula2>5000</formula2>
    </dataValidation>
    <dataValidation allowBlank="1" showInputMessage="1" showErrorMessage="1" prompt="Atenção: Campo com preenchimento automático" sqref="M205" xr:uid="{577071E9-11EA-4EA4-9DC0-E6CE2FFE6BD0}"/>
    <dataValidation type="list" allowBlank="1" showInputMessage="1" showErrorMessage="1" error="A partir de 03/07/2023, SE n° 2 não será aplicável para fornecimento _x000a_individual na tensão de 13,8 kV" sqref="I43:S43" xr:uid="{97265D53-5F5E-4029-B3D3-1F064B16FFED}">
      <formula1>Entrada_de_Energia</formula1>
    </dataValidation>
  </dataValidations>
  <hyperlinks>
    <hyperlink ref="B298:I298" r:id="rId1" display="https://www.cemig.com.br/atendimento/ligacao-nova-e-aumento-de-carga/" xr:uid="{683D0FF9-F3E4-4D27-B55F-0099793ED678}"/>
  </hyperlinks>
  <printOptions horizontalCentered="1"/>
  <pageMargins left="0.70866141732283472" right="0.70866141732283472" top="0.74803149606299213" bottom="0.35433070866141736" header="0.31496062992125984" footer="0.31496062992125984"/>
  <pageSetup paperSize="9" scale="62" fitToHeight="0" orientation="portrait" r:id="rId2"/>
  <headerFooter>
    <oddFooter>&amp;R_x000D_&amp;1#&amp;"Calibri"&amp;10&amp;K000000 Classificação: Público</oddFooter>
  </headerFooter>
  <rowBreaks count="5" manualBreakCount="5">
    <brk id="85" max="49" man="1"/>
    <brk id="176" max="49" man="1"/>
    <brk id="236" max="49" man="1"/>
    <brk id="292" max="49" man="1"/>
    <brk id="335" max="49" man="1"/>
  </rowBreaks>
  <drawing r:id="rId3"/>
  <extLst>
    <ext xmlns:x14="http://schemas.microsoft.com/office/spreadsheetml/2009/9/main" uri="{78C0D931-6437-407d-A8EE-F0AAD7539E65}">
      <x14:conditionalFormattings>
        <x14:conditionalFormatting xmlns:xm="http://schemas.microsoft.com/office/excel/2006/main">
          <x14:cfRule type="expression" priority="6" id="{D79B1BD2-030C-4865-99FA-5EA625B48C92}">
            <xm:f>$L$94&lt;&gt;Dados!$B$42</xm:f>
            <x14:dxf>
              <font>
                <color theme="0"/>
              </font>
              <fill>
                <patternFill>
                  <bgColor theme="0"/>
                </patternFill>
              </fill>
              <border>
                <left/>
                <right/>
                <top/>
                <bottom/>
                <vertical/>
                <horizontal/>
              </border>
            </x14:dxf>
          </x14:cfRule>
          <xm:sqref>C96:M96 O96:T96 W96:AV96</xm:sqref>
        </x14:conditionalFormatting>
        <x14:conditionalFormatting xmlns:xm="http://schemas.microsoft.com/office/excel/2006/main">
          <x14:cfRule type="expression" priority="1" id="{6E021E57-A0D7-4D30-B165-B48273E9C92F}">
            <xm:f>$AE$57&lt;&gt;Dados!$V$5</xm:f>
            <x14:dxf>
              <font>
                <color theme="0"/>
              </font>
              <fill>
                <patternFill>
                  <fgColor theme="0"/>
                  <bgColor theme="0"/>
                </patternFill>
              </fill>
              <border>
                <left/>
                <right/>
                <top/>
                <bottom/>
                <vertical/>
                <horizontal/>
              </border>
            </x14:dxf>
          </x14:cfRule>
          <xm:sqref>C59:AV61</xm:sqref>
        </x14:conditionalFormatting>
        <x14:conditionalFormatting xmlns:xm="http://schemas.microsoft.com/office/excel/2006/main">
          <x14:cfRule type="expression" priority="10" id="{4060CF6E-8864-4A7A-ACEF-A7CDCA96C797}">
            <xm:f>AND(TipoSE="Nº 2",L41=13800,I43=Dados!Y5,$I$46=Dados!$B$7)</xm:f>
            <x14:dxf>
              <font>
                <color theme="0"/>
              </font>
              <fill>
                <patternFill>
                  <bgColor rgb="FFFF0000"/>
                </patternFill>
              </fill>
            </x14:dxf>
          </x14:cfRule>
          <xm:sqref>I43:S43</xm:sqref>
        </x14:conditionalFormatting>
        <x14:conditionalFormatting xmlns:xm="http://schemas.microsoft.com/office/excel/2006/main">
          <x14:cfRule type="expression" priority="52" id="{DB128EB4-AEA4-4731-BA4A-06287B8099EB}">
            <xm:f>AND(Conferencia!$D$22=1,$U$92&gt;$N$35)</xm:f>
            <x14:dxf>
              <font>
                <b/>
                <i val="0"/>
                <color theme="0"/>
              </font>
              <fill>
                <patternFill>
                  <bgColor rgb="FFFF0000"/>
                </patternFill>
              </fill>
            </x14:dxf>
          </x14:cfRule>
          <xm:sqref>N35:P35 U92:W92</xm:sqref>
        </x14:conditionalFormatting>
        <x14:conditionalFormatting xmlns:xm="http://schemas.microsoft.com/office/excel/2006/main">
          <x14:cfRule type="expression" priority="65" id="{F4790A49-871D-42D1-B5EC-1E16CC0FD71A}">
            <xm:f>AND(Conferencia!$D$22=1,Conferencia!$D$19=1)</xm:f>
            <x14:dxf>
              <font>
                <b/>
                <i val="0"/>
                <color theme="0"/>
              </font>
              <fill>
                <patternFill>
                  <bgColor rgb="FFFF0000"/>
                </patternFill>
              </fill>
            </x14:dxf>
          </x14:cfRule>
          <xm:sqref>N35:P35</xm:sqref>
        </x14:conditionalFormatting>
        <x14:conditionalFormatting xmlns:xm="http://schemas.microsoft.com/office/excel/2006/main">
          <x14:cfRule type="expression" priority="141" id="{2392F1BE-ED33-446F-91DF-6B71BD925813}">
            <xm:f>Conferencia!$D$18=0</xm:f>
            <x14:dxf>
              <font>
                <b/>
                <i val="0"/>
                <color theme="0"/>
              </font>
              <fill>
                <patternFill>
                  <bgColor rgb="FFFF0000"/>
                </patternFill>
              </fill>
            </x14:dxf>
          </x14:cfRule>
          <xm:sqref>O33:P33 I46:AN46</xm:sqref>
        </x14:conditionalFormatting>
        <x14:conditionalFormatting xmlns:xm="http://schemas.microsoft.com/office/excel/2006/main">
          <x14:cfRule type="expression" priority="200" id="{00000000-000E-0000-0000-0000BE000000}">
            <xm:f>Conferencia!D6=1</xm:f>
            <x14:dxf>
              <font>
                <b/>
                <i val="0"/>
                <color theme="0"/>
              </font>
              <fill>
                <patternFill>
                  <bgColor rgb="FFFF0000"/>
                </patternFill>
              </fill>
            </x14:dxf>
          </x14:cfRule>
          <xm:sqref>P48:S48</xm:sqref>
        </x14:conditionalFormatting>
        <x14:conditionalFormatting xmlns:xm="http://schemas.microsoft.com/office/excel/2006/main">
          <x14:cfRule type="expression" priority="21" id="{00000000-000E-0000-0000-00000B000000}">
            <xm:f>Conferencia!D6=1</xm:f>
            <x14:dxf>
              <font>
                <b/>
                <i val="0"/>
                <color theme="0"/>
              </font>
              <fill>
                <patternFill>
                  <bgColor rgb="FFFF0000"/>
                </patternFill>
              </fill>
            </x14:dxf>
          </x14:cfRule>
          <xm:sqref>P50:S50</xm:sqref>
        </x14:conditionalFormatting>
        <x14:conditionalFormatting xmlns:xm="http://schemas.microsoft.com/office/excel/2006/main">
          <x14:cfRule type="expression" priority="53" id="{C64A15C6-E5DF-466A-AFD9-A5134763B0E8}">
            <xm:f>AND(Conferencia!$D$20=1,Conferencia!$D$21=1)</xm:f>
            <x14:dxf>
              <font>
                <b/>
                <i val="0"/>
                <color theme="0"/>
              </font>
              <fill>
                <patternFill>
                  <bgColor rgb="FFFF0000"/>
                </patternFill>
              </fill>
            </x14:dxf>
          </x14:cfRule>
          <xm:sqref>U92:W92</xm:sqref>
        </x14:conditionalFormatting>
        <x14:conditionalFormatting xmlns:xm="http://schemas.microsoft.com/office/excel/2006/main">
          <x14:cfRule type="expression" priority="168" id="{FD960FE8-C2F3-4FFF-9D0E-C38CF4ECB00E}">
            <xm:f>AND($N$35=2,Conferencia!$D$19=1,Conferencia!$D$21=1)</xm:f>
            <x14:dxf>
              <font>
                <b/>
                <i val="0"/>
                <color theme="0"/>
              </font>
              <fill>
                <patternFill>
                  <bgColor rgb="FFFF0000"/>
                </patternFill>
              </fill>
            </x14:dxf>
          </x14:cfRule>
          <x14:cfRule type="expression" priority="169" id="{2F4FB474-E8B7-4AD4-8D4A-F17AEF423478}">
            <xm:f>AND($N$35=2,Conferencia!$D$20=1,Conferencia!$D$21=1)</xm:f>
            <x14:dxf>
              <font>
                <b/>
                <i val="0"/>
                <color theme="0"/>
              </font>
              <fill>
                <patternFill>
                  <bgColor rgb="FFFF0000"/>
                </patternFill>
              </fill>
            </x14:dxf>
          </x14:cfRule>
          <xm:sqref>V33 AB33 V35 AB35</xm:sqref>
        </x14:conditionalFormatting>
        <x14:conditionalFormatting xmlns:xm="http://schemas.microsoft.com/office/excel/2006/main">
          <x14:cfRule type="expression" priority="142" id="{1CB6BF05-B70C-41E1-A45E-67210B3CB258}">
            <xm:f>AND($N$35=1,Conferencia!$D$19=1,Conferencia!$D$21=1)</xm:f>
            <x14:dxf>
              <font>
                <b/>
                <i val="0"/>
                <color theme="0"/>
              </font>
              <fill>
                <patternFill>
                  <bgColor rgb="FFFF0000"/>
                </patternFill>
              </fill>
            </x14:dxf>
          </x14:cfRule>
          <x14:cfRule type="expression" priority="167" id="{9F0E42FC-29EF-43F2-9500-788C301BBD00}">
            <xm:f>AND($N$35=1,Conferencia!$D$20=1,Conferencia!$D$21=1)</xm:f>
            <x14:dxf>
              <font>
                <b/>
                <i val="0"/>
                <color theme="0"/>
              </font>
              <fill>
                <patternFill>
                  <bgColor rgb="FFFF0000"/>
                </patternFill>
              </fill>
            </x14:dxf>
          </x14:cfRule>
          <xm:sqref>V35 AB35</xm:sqref>
        </x14:conditionalFormatting>
        <x14:conditionalFormatting xmlns:xm="http://schemas.microsoft.com/office/excel/2006/main">
          <x14:cfRule type="expression" priority="12" id="{4B50B99F-CFF1-408E-99B2-5877EE904C51}">
            <xm:f>$H$102&lt;&gt;Dados!$B$57</xm:f>
            <x14:dxf>
              <font>
                <color theme="0"/>
              </font>
              <fill>
                <patternFill>
                  <bgColor theme="0"/>
                </patternFill>
              </fill>
              <border>
                <left/>
                <right/>
                <top/>
                <bottom/>
                <vertical/>
                <horizontal/>
              </border>
            </x14:dxf>
          </x14:cfRule>
          <xm:sqref>AB102:AT102</xm:sqref>
        </x14:conditionalFormatting>
        <x14:conditionalFormatting xmlns:xm="http://schemas.microsoft.com/office/excel/2006/main">
          <x14:cfRule type="expression" priority="11" id="{CB3541B5-208B-4D2B-9DC4-6DDDD9B3E65B}">
            <xm:f>$H$142&lt;&gt;Dados!$B$57</xm:f>
            <x14:dxf>
              <font>
                <color theme="0"/>
              </font>
              <fill>
                <patternFill>
                  <bgColor theme="0"/>
                </patternFill>
              </fill>
              <border>
                <left/>
                <right/>
                <top/>
                <bottom/>
                <vertical/>
                <horizontal/>
              </border>
            </x14:dxf>
          </x14:cfRule>
          <xm:sqref>AB142:AT142</xm:sqref>
        </x14:conditionalFormatting>
        <x14:conditionalFormatting xmlns:xm="http://schemas.microsoft.com/office/excel/2006/main">
          <x14:cfRule type="expression" priority="25" id="{BAD528F7-DBC1-4BFE-B9CA-3A15CF09A004}">
            <xm:f>AND(Conferencia!$D$20=1,Conferencia!$D$21=1)</xm:f>
            <x14:dxf>
              <font>
                <b/>
                <i val="0"/>
                <color theme="0"/>
              </font>
              <fill>
                <patternFill>
                  <bgColor rgb="FFFF0000"/>
                </patternFill>
              </fill>
            </x14:dxf>
          </x14:cfRule>
          <x14:cfRule type="expression" priority="24" id="{22884E0C-B84A-45A9-B3FA-D0B66659609E}">
            <xm:f>AND(Conferencia!$D$22=1,$U$92&gt;$N$35)</xm:f>
            <x14:dxf>
              <font>
                <b/>
                <i val="0"/>
                <color theme="0"/>
              </font>
              <fill>
                <patternFill>
                  <bgColor rgb="FFFF0000"/>
                </patternFill>
              </fill>
            </x14:dxf>
          </x14:cfRule>
          <xm:sqref>AF92:AH92</xm:sqref>
        </x14:conditionalFormatting>
        <x14:conditionalFormatting xmlns:xm="http://schemas.microsoft.com/office/excel/2006/main">
          <x14:cfRule type="expression" priority="170" id="{E8CDD0F3-E119-4735-B3C6-7353278192E7}">
            <xm:f>AND($N$35=3,Conferencia!$D$19=1,Conferencia!$D$21=1)</xm:f>
            <x14:dxf>
              <font>
                <b/>
                <i val="0"/>
                <color theme="0"/>
              </font>
              <fill>
                <patternFill>
                  <bgColor rgb="FFFF0000"/>
                </patternFill>
              </fill>
            </x14:dxf>
          </x14:cfRule>
          <x14:cfRule type="expression" priority="172" id="{EDA5B47C-95E8-4053-829D-18A1E955920B}">
            <xm:f>AND($N$35=3,Conferencia!$D$20=1,Conferencia!$D$21=1)</xm:f>
            <x14:dxf>
              <font>
                <b/>
                <i val="0"/>
                <color theme="0"/>
              </font>
              <fill>
                <patternFill>
                  <bgColor rgb="FFFF0000"/>
                </patternFill>
              </fill>
            </x14:dxf>
          </x14:cfRule>
          <xm:sqref>AJ33 AP33 V33 AB33 V35 AB35</xm:sqref>
        </x14:conditionalFormatting>
        <x14:conditionalFormatting xmlns:xm="http://schemas.microsoft.com/office/excel/2006/main">
          <x14:cfRule type="expression" priority="182" id="{54D25C4B-4A83-45E9-B20E-BFC19FBB59EB}">
            <xm:f>AND($N$35&gt;=4,Conferencia!$D$20=1,Conferencia!$D$21=1)</xm:f>
            <x14:dxf>
              <font>
                <b/>
                <i val="0"/>
                <color theme="0"/>
              </font>
              <fill>
                <patternFill>
                  <bgColor rgb="FFFF0000"/>
                </patternFill>
              </fill>
            </x14:dxf>
          </x14:cfRule>
          <x14:cfRule type="expression" priority="176" id="{CA712B9C-6EF3-4598-8C41-CEE99DBDDD56}">
            <xm:f>AND($N$35&gt;=4,Conferencia!$D$19=1,Conferencia!$D$21=1)</xm:f>
            <x14:dxf>
              <font>
                <b/>
                <i val="0"/>
                <color theme="0"/>
              </font>
              <fill>
                <patternFill>
                  <bgColor rgb="FFFF0000"/>
                </patternFill>
              </fill>
            </x14:dxf>
          </x14:cfRule>
          <xm:sqref>AJ35 AP35 AJ33 AP33 V33 AB33 V35 AB35</xm:sqref>
        </x14:conditionalFormatting>
        <x14:conditionalFormatting xmlns:xm="http://schemas.microsoft.com/office/excel/2006/main">
          <x14:cfRule type="expression" priority="27" id="{B8604CA7-0558-4E4E-B6D8-81F82885765E}">
            <xm:f>AND(Conferencia!$D$20=1,Conferencia!$D$21=1)</xm:f>
            <x14:dxf>
              <font>
                <b/>
                <i val="0"/>
                <color theme="0"/>
              </font>
              <fill>
                <patternFill>
                  <bgColor rgb="FFFF0000"/>
                </patternFill>
              </fill>
            </x14:dxf>
          </x14:cfRule>
          <x14:cfRule type="expression" priority="26" id="{7B2F6AED-F386-4089-B699-046560FFBFAA}">
            <xm:f>AND(Conferencia!$D$22=1,$U$92&gt;$N$35)</xm:f>
            <x14:dxf>
              <font>
                <b/>
                <i val="0"/>
                <color theme="0"/>
              </font>
              <fill>
                <patternFill>
                  <bgColor rgb="FFFF0000"/>
                </patternFill>
              </fill>
            </x14:dxf>
          </x14:cfRule>
          <xm:sqref>AR92:AT92</xm:sqref>
        </x14:conditionalFormatting>
        <x14:conditionalFormatting xmlns:xm="http://schemas.microsoft.com/office/excel/2006/main">
          <x14:cfRule type="expression" priority="9" id="{86D94E35-DF86-4CA7-995C-72D58163B68C}">
            <xm:f>$I$46&lt;&gt;Dados!$B$6</xm:f>
            <x14:dxf>
              <font>
                <color theme="0"/>
              </font>
              <fill>
                <patternFill>
                  <bgColor theme="0"/>
                </patternFill>
              </fill>
              <border>
                <left/>
                <right/>
                <top/>
                <bottom/>
                <vertical/>
                <horizontal/>
              </border>
            </x14:dxf>
          </x14:cfRule>
          <xm:sqref>AS46:AV51</xm:sqref>
        </x14:conditionalFormatting>
      </x14:conditionalFormattings>
    </ext>
    <ext xmlns:x14="http://schemas.microsoft.com/office/spreadsheetml/2009/9/main" uri="{CCE6A557-97BC-4b89-ADB6-D9C93CAAB3DF}">
      <x14:dataValidations xmlns:xm="http://schemas.microsoft.com/office/excel/2006/main" xWindow="616" yWindow="687" count="12">
        <x14:dataValidation type="list" allowBlank="1" showInputMessage="1" showErrorMessage="1" xr:uid="{82230DB7-7F98-4058-A310-711BF3ADCC34}">
          <x14:formula1>
            <xm:f>Dados!$B$40:$B$43</xm:f>
          </x14:formula1>
          <xm:sqref>L94:AD94</xm:sqref>
        </x14:dataValidation>
        <x14:dataValidation type="list" allowBlank="1" showInputMessage="1" showErrorMessage="1" xr:uid="{78661C0C-1FFC-4A63-A2E5-145321DC16E5}">
          <x14:formula1>
            <xm:f>Dados!$V$5:$V$6</xm:f>
          </x14:formula1>
          <xm:sqref>R179:V179 R181:V181 O183:S183 AJ183:AN183</xm:sqref>
        </x14:dataValidation>
        <x14:dataValidation type="list" allowBlank="1" showInputMessage="1" showErrorMessage="1" xr:uid="{EDDC6FE1-7E80-4856-8425-82C25C06A51E}">
          <x14:formula1>
            <xm:f>'Resp Seg Barragem'!$A$19:$A$21</xm:f>
          </x14:formula1>
          <xm:sqref>C362:AU362</xm:sqref>
        </x14:dataValidation>
        <x14:dataValidation type="list" allowBlank="1" showInputMessage="1" showErrorMessage="1" xr:uid="{61921C40-5315-4881-AA6F-143EDFF83C69}">
          <x14:formula1>
            <xm:f>'Resp Seg Barragem'!$A$16:$A$17</xm:f>
          </x14:formula1>
          <xm:sqref>C358:AU358</xm:sqref>
        </x14:dataValidation>
        <x14:dataValidation type="list" allowBlank="1" showInputMessage="1" showErrorMessage="1" xr:uid="{3ECFE3A5-B279-44A2-BE88-6D9217F5BA05}">
          <x14:formula1>
            <xm:f>'Resp Seg Barragem'!$A$11:$A$14</xm:f>
          </x14:formula1>
          <xm:sqref>C354:AU354</xm:sqref>
        </x14:dataValidation>
        <x14:dataValidation type="list" allowBlank="1" showInputMessage="1" showErrorMessage="1" xr:uid="{7DB8596F-A536-4669-9FFC-8FB1C75CA6C5}">
          <x14:formula1>
            <xm:f>'Resp Seg Barragem'!$A$5:$A$9</xm:f>
          </x14:formula1>
          <xm:sqref>C351:AU351</xm:sqref>
        </x14:dataValidation>
        <x14:dataValidation type="list" allowBlank="1" showInputMessage="1" showErrorMessage="1" xr:uid="{31B876F6-E928-461B-8904-E34D7A1C1BE4}">
          <x14:formula1>
            <xm:f>'Resp Seg Barragem'!$A$2:$A$3</xm:f>
          </x14:formula1>
          <xm:sqref>C347:AU347</xm:sqref>
        </x14:dataValidation>
        <x14:dataValidation type="list" allowBlank="1" showInputMessage="1" showErrorMessage="1" xr:uid="{9306147B-82E9-401D-A5CE-9A374DF12988}">
          <x14:formula1>
            <xm:f>Dados!$B$46:$B$47</xm:f>
          </x14:formula1>
          <xm:sqref>R89:S89</xm:sqref>
        </x14:dataValidation>
        <x14:dataValidation type="list" allowBlank="1" showInputMessage="1" showErrorMessage="1" xr:uid="{66E14B89-4324-4F6A-BD01-BD7350A87E16}">
          <x14:formula1>
            <xm:f>Dados!$B$54:$B$57</xm:f>
          </x14:formula1>
          <xm:sqref>H102:Z102 H142:Z142</xm:sqref>
        </x14:dataValidation>
        <x14:dataValidation type="list" allowBlank="1" showInputMessage="1" showErrorMessage="1" xr:uid="{4E7A09DC-9CA0-4AC1-8B18-BBD67B5D36F8}">
          <x14:formula1>
            <xm:f>Dados!$V$22:$V$23</xm:f>
          </x14:formula1>
          <xm:sqref>AN61:AS61</xm:sqref>
        </x14:dataValidation>
        <x14:dataValidation type="list" allowBlank="1" showInputMessage="1" showErrorMessage="1" xr:uid="{780E8785-CBE6-4CCE-8C40-2C265CDAA7AC}">
          <x14:formula1>
            <xm:f>Dados!$V$29:$V$30</xm:f>
          </x14:formula1>
          <xm:sqref>C250 C253</xm:sqref>
        </x14:dataValidation>
        <x14:dataValidation type="whole" allowBlank="1" showInputMessage="1" showErrorMessage="1" xr:uid="{76680509-B906-40F8-8042-03768099BABC}">
          <x14:formula1>
            <xm:f>Dados!AF13</xm:f>
          </x14:formula1>
          <x14:formula2>
            <xm:f>Dados!AG13</xm:f>
          </x14:formula2>
          <xm:sqref>P50:S50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33A22-0354-4B5F-B5CA-99DEA2A3DCEF}">
  <sheetPr codeName="Planilha1">
    <tabColor rgb="FFFFFF00"/>
  </sheetPr>
  <dimension ref="B2:AH168"/>
  <sheetViews>
    <sheetView showGridLines="0" showRowColHeaders="0" zoomScaleNormal="100" workbookViewId="0"/>
  </sheetViews>
  <sheetFormatPr defaultRowHeight="15" x14ac:dyDescent="0.25"/>
  <cols>
    <col min="1" max="1" width="4.140625" customWidth="1"/>
    <col min="2" max="25" width="3.42578125" customWidth="1"/>
    <col min="26" max="29" width="4" customWidth="1"/>
    <col min="30" max="34" width="4.140625" customWidth="1"/>
  </cols>
  <sheetData>
    <row r="2" spans="2:33" x14ac:dyDescent="0.25">
      <c r="B2" s="52" t="s">
        <v>145</v>
      </c>
    </row>
    <row r="3" spans="2:33" ht="3" customHeight="1" x14ac:dyDescent="0.25"/>
    <row r="4" spans="2:33" x14ac:dyDescent="0.25">
      <c r="B4" s="134" t="s">
        <v>146</v>
      </c>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row>
    <row r="5" spans="2:33" ht="3" customHeight="1" x14ac:dyDescent="0.25">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row>
    <row r="6" spans="2:33" ht="15" customHeight="1" x14ac:dyDescent="0.25">
      <c r="B6" s="134"/>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F6" s="134"/>
      <c r="AG6" s="134"/>
    </row>
    <row r="7" spans="2:33" ht="3" customHeight="1" x14ac:dyDescent="0.25"/>
    <row r="8" spans="2:33" ht="15" customHeight="1" x14ac:dyDescent="0.25">
      <c r="B8" s="134" t="s">
        <v>407</v>
      </c>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row>
    <row r="9" spans="2:33" ht="30.75" customHeight="1" x14ac:dyDescent="0.25">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row>
    <row r="10" spans="2:33" ht="3" customHeight="1" x14ac:dyDescent="0.25"/>
    <row r="11" spans="2:33" x14ac:dyDescent="0.25">
      <c r="B11" s="134" t="s">
        <v>147</v>
      </c>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row>
    <row r="12" spans="2:33" ht="14.25" customHeight="1" x14ac:dyDescent="0.25">
      <c r="B12" s="13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row>
    <row r="13" spans="2:33" ht="3" customHeight="1" x14ac:dyDescent="0.25"/>
    <row r="14" spans="2:33" x14ac:dyDescent="0.25">
      <c r="B14" t="s">
        <v>148</v>
      </c>
    </row>
    <row r="16" spans="2:33" x14ac:dyDescent="0.25">
      <c r="F16" s="289" t="s">
        <v>149</v>
      </c>
      <c r="G16" s="289"/>
      <c r="H16" s="289"/>
      <c r="I16" s="289"/>
      <c r="J16" s="289" t="s">
        <v>150</v>
      </c>
      <c r="K16" s="289"/>
      <c r="L16" s="289"/>
      <c r="M16" s="289"/>
      <c r="N16" s="289"/>
      <c r="O16" s="289"/>
      <c r="P16" s="289"/>
      <c r="Q16" s="289"/>
      <c r="R16" s="290" t="s">
        <v>149</v>
      </c>
      <c r="S16" s="289"/>
      <c r="T16" s="289"/>
      <c r="U16" s="289"/>
      <c r="V16" s="289" t="s">
        <v>151</v>
      </c>
      <c r="W16" s="289"/>
      <c r="X16" s="289"/>
      <c r="Y16" s="289"/>
      <c r="Z16" s="289"/>
      <c r="AA16" s="289"/>
    </row>
    <row r="17" spans="2:33" x14ac:dyDescent="0.25">
      <c r="F17" s="287" t="s">
        <v>152</v>
      </c>
      <c r="G17" s="287"/>
      <c r="H17" s="287"/>
      <c r="I17" s="287"/>
      <c r="J17" s="280" t="s">
        <v>153</v>
      </c>
      <c r="K17" s="280"/>
      <c r="L17" s="280"/>
      <c r="M17" s="280"/>
      <c r="N17" s="280"/>
      <c r="O17" s="280"/>
      <c r="P17" s="280"/>
      <c r="Q17" s="280"/>
      <c r="R17" s="288" t="s">
        <v>154</v>
      </c>
      <c r="S17" s="287"/>
      <c r="T17" s="287"/>
      <c r="U17" s="287"/>
      <c r="V17" s="280" t="s">
        <v>155</v>
      </c>
      <c r="W17" s="280"/>
      <c r="X17" s="280"/>
      <c r="Y17" s="280"/>
      <c r="Z17" s="280"/>
      <c r="AA17" s="280"/>
    </row>
    <row r="18" spans="2:33" x14ac:dyDescent="0.25">
      <c r="F18" s="287" t="s">
        <v>156</v>
      </c>
      <c r="G18" s="287"/>
      <c r="H18" s="287"/>
      <c r="I18" s="287"/>
      <c r="J18" s="280" t="s">
        <v>157</v>
      </c>
      <c r="K18" s="280"/>
      <c r="L18" s="280"/>
      <c r="M18" s="280"/>
      <c r="N18" s="280"/>
      <c r="O18" s="280"/>
      <c r="P18" s="280"/>
      <c r="Q18" s="280"/>
      <c r="R18" s="288" t="s">
        <v>158</v>
      </c>
      <c r="S18" s="287"/>
      <c r="T18" s="287"/>
      <c r="U18" s="287"/>
      <c r="V18" s="280" t="s">
        <v>159</v>
      </c>
      <c r="W18" s="280"/>
      <c r="X18" s="280"/>
      <c r="Y18" s="280"/>
      <c r="Z18" s="280"/>
      <c r="AA18" s="280"/>
    </row>
    <row r="19" spans="2:33" x14ac:dyDescent="0.25">
      <c r="F19" s="287" t="s">
        <v>160</v>
      </c>
      <c r="G19" s="287"/>
      <c r="H19" s="287"/>
      <c r="I19" s="287"/>
      <c r="J19" s="280" t="s">
        <v>161</v>
      </c>
      <c r="K19" s="280"/>
      <c r="L19" s="280"/>
      <c r="M19" s="280"/>
      <c r="N19" s="280"/>
      <c r="O19" s="280"/>
      <c r="P19" s="280"/>
      <c r="Q19" s="280"/>
      <c r="R19" s="288" t="s">
        <v>162</v>
      </c>
      <c r="S19" s="287"/>
      <c r="T19" s="287"/>
      <c r="U19" s="287"/>
      <c r="V19" s="280" t="s">
        <v>163</v>
      </c>
      <c r="W19" s="280"/>
      <c r="X19" s="280"/>
      <c r="Y19" s="280"/>
      <c r="Z19" s="280"/>
      <c r="AA19" s="280"/>
    </row>
    <row r="20" spans="2:33" x14ac:dyDescent="0.25">
      <c r="F20" s="287" t="s">
        <v>164</v>
      </c>
      <c r="G20" s="287"/>
      <c r="H20" s="287"/>
      <c r="I20" s="287"/>
      <c r="J20" s="280" t="s">
        <v>165</v>
      </c>
      <c r="K20" s="280"/>
      <c r="L20" s="280"/>
      <c r="M20" s="280"/>
      <c r="N20" s="280"/>
      <c r="O20" s="280"/>
      <c r="P20" s="280"/>
      <c r="Q20" s="280"/>
      <c r="R20" s="288" t="s">
        <v>162</v>
      </c>
      <c r="S20" s="287"/>
      <c r="T20" s="287"/>
      <c r="U20" s="287"/>
      <c r="V20" s="280" t="s">
        <v>166</v>
      </c>
      <c r="W20" s="280"/>
      <c r="X20" s="280"/>
      <c r="Y20" s="280"/>
      <c r="Z20" s="280"/>
      <c r="AA20" s="280"/>
    </row>
    <row r="21" spans="2:33" x14ac:dyDescent="0.25">
      <c r="F21" s="287" t="s">
        <v>167</v>
      </c>
      <c r="G21" s="287"/>
      <c r="H21" s="287"/>
      <c r="I21" s="287"/>
      <c r="J21" s="280" t="s">
        <v>168</v>
      </c>
      <c r="K21" s="280"/>
      <c r="L21" s="280"/>
      <c r="M21" s="280"/>
      <c r="N21" s="280"/>
      <c r="O21" s="280"/>
      <c r="P21" s="280"/>
      <c r="Q21" s="280"/>
      <c r="R21" s="288" t="s">
        <v>169</v>
      </c>
      <c r="S21" s="287"/>
      <c r="T21" s="287"/>
      <c r="U21" s="287"/>
      <c r="V21" s="280" t="s">
        <v>170</v>
      </c>
      <c r="W21" s="280"/>
      <c r="X21" s="280"/>
      <c r="Y21" s="280"/>
      <c r="Z21" s="280"/>
      <c r="AA21" s="280"/>
    </row>
    <row r="23" spans="2:33" x14ac:dyDescent="0.25">
      <c r="B23" s="134" t="s">
        <v>187</v>
      </c>
      <c r="C23" s="134"/>
      <c r="D23" s="134"/>
      <c r="E23" s="134"/>
      <c r="F23" s="134"/>
      <c r="G23" s="134"/>
      <c r="H23" s="134"/>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row>
    <row r="24" spans="2:33" x14ac:dyDescent="0.25">
      <c r="B24" s="134"/>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row>
    <row r="25" spans="2:33" ht="3" customHeight="1" x14ac:dyDescent="0.25"/>
    <row r="26" spans="2:33" ht="15" customHeight="1" x14ac:dyDescent="0.25">
      <c r="B26" s="134" t="s">
        <v>409</v>
      </c>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row>
    <row r="27" spans="2:33" x14ac:dyDescent="0.25">
      <c r="B27" s="134"/>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c r="AC27" s="134"/>
      <c r="AD27" s="134"/>
      <c r="AE27" s="134"/>
      <c r="AF27" s="134"/>
      <c r="AG27" s="134"/>
    </row>
    <row r="28" spans="2:33" x14ac:dyDescent="0.25">
      <c r="B28" s="134"/>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row>
    <row r="29" spans="2:33" x14ac:dyDescent="0.25">
      <c r="B29" t="s">
        <v>171</v>
      </c>
    </row>
    <row r="30" spans="2:33" ht="3" customHeight="1" x14ac:dyDescent="0.25"/>
    <row r="31" spans="2:33" ht="15" customHeight="1" x14ac:dyDescent="0.25">
      <c r="B31" s="134" t="s">
        <v>188</v>
      </c>
      <c r="C31" s="134"/>
      <c r="D31" s="134"/>
      <c r="E31" s="134"/>
      <c r="F31" s="134"/>
      <c r="G31" s="134"/>
      <c r="H31" s="134"/>
      <c r="I31" s="134"/>
      <c r="J31" s="134"/>
      <c r="K31" s="134"/>
      <c r="L31" s="134"/>
      <c r="M31" s="134"/>
      <c r="N31" s="134"/>
      <c r="O31" s="134"/>
      <c r="P31" s="134"/>
      <c r="Q31" s="134"/>
      <c r="R31" s="134"/>
      <c r="S31" s="134"/>
      <c r="T31" s="134"/>
      <c r="U31" s="134"/>
      <c r="V31" s="134"/>
      <c r="W31" s="134"/>
      <c r="X31" s="134"/>
      <c r="Y31" s="134"/>
      <c r="Z31" s="134"/>
      <c r="AA31" s="134"/>
      <c r="AB31" s="134"/>
      <c r="AC31" s="134"/>
      <c r="AD31" s="134"/>
      <c r="AE31" s="134"/>
      <c r="AF31" s="134"/>
      <c r="AG31" s="134"/>
    </row>
    <row r="32" spans="2:33" x14ac:dyDescent="0.25">
      <c r="B32" s="134"/>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34"/>
      <c r="AA32" s="134"/>
      <c r="AB32" s="134"/>
      <c r="AC32" s="134"/>
      <c r="AD32" s="134"/>
      <c r="AE32" s="134"/>
      <c r="AF32" s="134"/>
      <c r="AG32" s="134"/>
    </row>
    <row r="33" spans="2:33" x14ac:dyDescent="0.25">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row>
    <row r="34" spans="2:33" ht="3" customHeight="1" x14ac:dyDescent="0.25">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row>
    <row r="35" spans="2:33" x14ac:dyDescent="0.25">
      <c r="B35" s="134" t="s">
        <v>484</v>
      </c>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row>
    <row r="36" spans="2:33" x14ac:dyDescent="0.25">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row>
    <row r="37" spans="2:33" x14ac:dyDescent="0.25">
      <c r="B37" s="134"/>
      <c r="C37" s="134"/>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row>
    <row r="38" spans="2:33" ht="6" customHeight="1" x14ac:dyDescent="0.25"/>
    <row r="39" spans="2:33" x14ac:dyDescent="0.25">
      <c r="B39" s="134" t="s">
        <v>485</v>
      </c>
      <c r="C39" s="134"/>
      <c r="D39" s="134"/>
      <c r="E39" s="134"/>
      <c r="F39" s="134"/>
      <c r="G39" s="134"/>
      <c r="H39" s="134"/>
      <c r="I39" s="134"/>
      <c r="J39" s="134"/>
      <c r="K39" s="134"/>
      <c r="L39" s="134"/>
      <c r="M39" s="134"/>
      <c r="N39" s="134"/>
      <c r="O39" s="134"/>
      <c r="P39" s="134"/>
      <c r="Q39" s="134"/>
      <c r="R39" s="134"/>
      <c r="S39" s="134"/>
      <c r="T39" s="134"/>
      <c r="U39" s="134"/>
      <c r="V39" s="134"/>
      <c r="W39" s="134"/>
      <c r="X39" s="134"/>
      <c r="Y39" s="134"/>
      <c r="Z39" s="134"/>
      <c r="AA39" s="134"/>
      <c r="AB39" s="134"/>
      <c r="AC39" s="134"/>
      <c r="AD39" s="134"/>
      <c r="AE39" s="134"/>
      <c r="AF39" s="134"/>
      <c r="AG39" s="134"/>
    </row>
    <row r="40" spans="2:33" x14ac:dyDescent="0.25">
      <c r="B40" s="134"/>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4"/>
      <c r="AC40" s="134"/>
      <c r="AD40" s="134"/>
      <c r="AE40" s="134"/>
      <c r="AF40" s="134"/>
      <c r="AG40" s="134"/>
    </row>
    <row r="41" spans="2:33" ht="3" customHeight="1" x14ac:dyDescent="0.25"/>
    <row r="42" spans="2:33" x14ac:dyDescent="0.25">
      <c r="B42" s="134" t="s">
        <v>486</v>
      </c>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row>
    <row r="43" spans="2:33" x14ac:dyDescent="0.25">
      <c r="B43" s="134"/>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row>
    <row r="44" spans="2:33" x14ac:dyDescent="0.25">
      <c r="B44" s="134"/>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row>
    <row r="45" spans="2:33" x14ac:dyDescent="0.25">
      <c r="B45" s="134" t="s">
        <v>172</v>
      </c>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row>
    <row r="46" spans="2:33" x14ac:dyDescent="0.25">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row>
    <row r="47" spans="2:33" x14ac:dyDescent="0.25">
      <c r="B47" s="134" t="s">
        <v>206</v>
      </c>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row>
    <row r="48" spans="2:33" x14ac:dyDescent="0.25">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row>
    <row r="49" spans="2:33" ht="3.95" customHeight="1" x14ac:dyDescent="0.25"/>
    <row r="50" spans="2:33" ht="15" customHeight="1" x14ac:dyDescent="0.25">
      <c r="B50" s="134" t="s">
        <v>487</v>
      </c>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c r="AE50" s="134"/>
      <c r="AF50" s="134"/>
      <c r="AG50" s="134"/>
    </row>
    <row r="51" spans="2:33" x14ac:dyDescent="0.25">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row>
    <row r="52" spans="2:33" x14ac:dyDescent="0.25">
      <c r="B52" s="134"/>
      <c r="C52" s="134"/>
      <c r="D52" s="134"/>
      <c r="E52" s="134"/>
      <c r="F52" s="134"/>
      <c r="G52" s="134"/>
      <c r="H52" s="134"/>
      <c r="I52" s="134"/>
      <c r="J52" s="134"/>
      <c r="K52" s="134"/>
      <c r="L52" s="134"/>
      <c r="M52" s="134"/>
      <c r="N52" s="134"/>
      <c r="O52" s="134"/>
      <c r="P52" s="134"/>
      <c r="Q52" s="134"/>
      <c r="R52" s="134"/>
      <c r="S52" s="134"/>
      <c r="T52" s="134"/>
      <c r="U52" s="134"/>
      <c r="V52" s="134"/>
      <c r="W52" s="134"/>
      <c r="X52" s="134"/>
      <c r="Y52" s="134"/>
      <c r="Z52" s="134"/>
      <c r="AA52" s="134"/>
      <c r="AB52" s="134"/>
      <c r="AC52" s="134"/>
      <c r="AD52" s="134"/>
      <c r="AE52" s="134"/>
      <c r="AF52" s="134"/>
      <c r="AG52" s="134"/>
    </row>
    <row r="53" spans="2:33" x14ac:dyDescent="0.25">
      <c r="B53" s="134"/>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c r="AE53" s="134"/>
      <c r="AF53" s="134"/>
      <c r="AG53" s="134"/>
    </row>
    <row r="54" spans="2:33" ht="6" customHeight="1" x14ac:dyDescent="0.25"/>
    <row r="55" spans="2:33" x14ac:dyDescent="0.25">
      <c r="B55" s="134" t="s">
        <v>488</v>
      </c>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row>
    <row r="56" spans="2:33" x14ac:dyDescent="0.25">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row>
    <row r="57" spans="2:33" ht="6" customHeight="1" x14ac:dyDescent="0.25">
      <c r="B57" t="s">
        <v>189</v>
      </c>
    </row>
    <row r="58" spans="2:33" x14ac:dyDescent="0.25">
      <c r="B58" t="s">
        <v>489</v>
      </c>
    </row>
    <row r="59" spans="2:33" ht="6" customHeight="1" x14ac:dyDescent="0.25"/>
    <row r="60" spans="2:33" x14ac:dyDescent="0.25">
      <c r="B60" t="s">
        <v>510</v>
      </c>
    </row>
    <row r="61" spans="2:33" x14ac:dyDescent="0.25">
      <c r="B61" t="s">
        <v>173</v>
      </c>
    </row>
    <row r="62" spans="2:33" x14ac:dyDescent="0.25">
      <c r="B62" t="s">
        <v>194</v>
      </c>
    </row>
    <row r="63" spans="2:33" ht="6" customHeight="1" x14ac:dyDescent="0.25"/>
    <row r="64" spans="2:33" x14ac:dyDescent="0.25">
      <c r="B64" s="134" t="s">
        <v>195</v>
      </c>
      <c r="C64" s="134"/>
      <c r="D64" s="134"/>
      <c r="E64" s="134"/>
      <c r="F64" s="134"/>
      <c r="G64" s="134"/>
      <c r="H64" s="134"/>
      <c r="I64" s="134"/>
      <c r="J64" s="134"/>
      <c r="K64" s="134"/>
      <c r="L64" s="134"/>
      <c r="M64" s="134"/>
      <c r="N64" s="134"/>
      <c r="O64" s="134"/>
      <c r="P64" s="134"/>
      <c r="Q64" s="134"/>
      <c r="R64" s="134"/>
      <c r="S64" s="134"/>
      <c r="T64" s="134"/>
      <c r="U64" s="134"/>
      <c r="V64" s="134"/>
      <c r="W64" s="134"/>
      <c r="X64" s="134"/>
      <c r="Y64" s="134"/>
      <c r="Z64" s="134"/>
      <c r="AA64" s="134"/>
      <c r="AB64" s="134"/>
      <c r="AC64" s="134"/>
      <c r="AD64" s="134"/>
      <c r="AE64" s="134"/>
      <c r="AF64" s="134"/>
      <c r="AG64" s="134"/>
    </row>
    <row r="65" spans="2:33" x14ac:dyDescent="0.25">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row>
    <row r="66" spans="2:33" ht="6" customHeight="1" x14ac:dyDescent="0.25">
      <c r="B66" s="134"/>
      <c r="C66" s="134"/>
      <c r="D66" s="134"/>
      <c r="E66" s="134"/>
      <c r="F66" s="134"/>
      <c r="G66" s="134"/>
      <c r="H66" s="134"/>
      <c r="I66" s="134"/>
      <c r="J66" s="13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row>
    <row r="67" spans="2:33" ht="15" customHeight="1" x14ac:dyDescent="0.25">
      <c r="B67" s="134" t="s">
        <v>196</v>
      </c>
      <c r="C67" s="134"/>
      <c r="D67" s="134"/>
      <c r="E67" s="134"/>
      <c r="F67" s="134"/>
      <c r="G67" s="134"/>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row>
    <row r="68" spans="2:33" x14ac:dyDescent="0.25">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row>
    <row r="69" spans="2:33" x14ac:dyDescent="0.25">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row>
    <row r="70" spans="2:33" ht="6" customHeight="1" x14ac:dyDescent="0.25"/>
    <row r="71" spans="2:33" ht="15" customHeight="1" x14ac:dyDescent="0.25">
      <c r="B71" s="134" t="s">
        <v>174</v>
      </c>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row>
    <row r="72" spans="2:33" x14ac:dyDescent="0.25">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row>
    <row r="73" spans="2:33" x14ac:dyDescent="0.25">
      <c r="B73" s="134"/>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row>
    <row r="74" spans="2:33" x14ac:dyDescent="0.25">
      <c r="B74" s="134"/>
      <c r="C74" s="134"/>
      <c r="D74" s="134"/>
      <c r="E74" s="134"/>
      <c r="F74" s="134"/>
      <c r="G74" s="134"/>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row>
    <row r="75" spans="2:33" x14ac:dyDescent="0.25">
      <c r="B75" s="134"/>
      <c r="C75" s="134"/>
      <c r="D75" s="134"/>
      <c r="E75" s="134"/>
      <c r="F75" s="134"/>
      <c r="G75" s="134"/>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row>
    <row r="76" spans="2:33" x14ac:dyDescent="0.25">
      <c r="B76" s="134"/>
      <c r="C76" s="134"/>
      <c r="D76" s="134"/>
      <c r="E76" s="134"/>
      <c r="F76" s="134"/>
      <c r="G76" s="134"/>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row>
    <row r="77" spans="2:33" x14ac:dyDescent="0.25">
      <c r="B77" s="134"/>
      <c r="C77" s="134"/>
      <c r="D77" s="134"/>
      <c r="E77" s="134"/>
      <c r="F77" s="134"/>
      <c r="G77" s="134"/>
      <c r="H77" s="134"/>
      <c r="I77" s="134"/>
      <c r="J77" s="134"/>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row>
    <row r="78" spans="2:33" x14ac:dyDescent="0.25">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row>
    <row r="79" spans="2:33" ht="6" customHeight="1" x14ac:dyDescent="0.25"/>
    <row r="80" spans="2:33" x14ac:dyDescent="0.25">
      <c r="B80" s="134" t="s">
        <v>175</v>
      </c>
      <c r="C80" s="134"/>
      <c r="D80" s="134"/>
      <c r="E80" s="134"/>
      <c r="F80" s="134"/>
      <c r="G80" s="134"/>
      <c r="H80" s="134"/>
      <c r="I80" s="134"/>
      <c r="J80" s="134"/>
      <c r="K80" s="134"/>
      <c r="L80" s="134"/>
      <c r="M80" s="134"/>
      <c r="N80" s="134"/>
      <c r="O80" s="134"/>
      <c r="P80" s="134"/>
      <c r="Q80" s="134"/>
      <c r="R80" s="134"/>
      <c r="S80" s="134"/>
      <c r="T80" s="134"/>
      <c r="U80" s="134"/>
      <c r="V80" s="134"/>
      <c r="W80" s="134"/>
      <c r="X80" s="134"/>
      <c r="Y80" s="134"/>
      <c r="Z80" s="134"/>
      <c r="AA80" s="134"/>
      <c r="AB80" s="134"/>
      <c r="AC80" s="134"/>
      <c r="AD80" s="134"/>
      <c r="AE80" s="134"/>
      <c r="AF80" s="134"/>
      <c r="AG80" s="134"/>
    </row>
    <row r="81" spans="2:34" x14ac:dyDescent="0.25">
      <c r="B81" s="134"/>
      <c r="C81" s="134"/>
      <c r="D81" s="134"/>
      <c r="E81" s="134"/>
      <c r="F81" s="134"/>
      <c r="G81" s="134"/>
      <c r="H81" s="134"/>
      <c r="I81" s="134"/>
      <c r="J81" s="134"/>
      <c r="K81" s="134"/>
      <c r="L81" s="134"/>
      <c r="M81" s="134"/>
      <c r="N81" s="134"/>
      <c r="O81" s="134"/>
      <c r="P81" s="134"/>
      <c r="Q81" s="134"/>
      <c r="R81" s="134"/>
      <c r="S81" s="134"/>
      <c r="T81" s="134"/>
      <c r="U81" s="134"/>
      <c r="V81" s="134"/>
      <c r="W81" s="134"/>
      <c r="X81" s="134"/>
      <c r="Y81" s="134"/>
      <c r="Z81" s="134"/>
      <c r="AA81" s="134"/>
      <c r="AB81" s="134"/>
      <c r="AC81" s="134"/>
      <c r="AD81" s="134"/>
      <c r="AE81" s="134"/>
      <c r="AF81" s="134"/>
      <c r="AG81" s="134"/>
    </row>
    <row r="82" spans="2:34" x14ac:dyDescent="0.25">
      <c r="B82" s="134"/>
      <c r="C82" s="134"/>
      <c r="D82" s="134"/>
      <c r="E82" s="134"/>
      <c r="F82" s="134"/>
      <c r="G82" s="134"/>
      <c r="H82" s="134"/>
      <c r="I82" s="134"/>
      <c r="J82" s="134"/>
      <c r="K82" s="134"/>
      <c r="L82" s="134"/>
      <c r="M82" s="134"/>
      <c r="N82" s="134"/>
      <c r="O82" s="134"/>
      <c r="P82" s="134"/>
      <c r="Q82" s="134"/>
      <c r="R82" s="134"/>
      <c r="S82" s="134"/>
      <c r="T82" s="134"/>
      <c r="U82" s="134"/>
      <c r="V82" s="134"/>
      <c r="W82" s="134"/>
      <c r="X82" s="134"/>
      <c r="Y82" s="134"/>
      <c r="Z82" s="134"/>
      <c r="AA82" s="134"/>
      <c r="AB82" s="134"/>
      <c r="AC82" s="134"/>
      <c r="AD82" s="134"/>
      <c r="AE82" s="134"/>
      <c r="AF82" s="134"/>
      <c r="AG82" s="134"/>
    </row>
    <row r="83" spans="2:34" x14ac:dyDescent="0.25">
      <c r="B83" s="134"/>
      <c r="C83" s="134"/>
      <c r="D83" s="134"/>
      <c r="E83" s="134"/>
      <c r="F83" s="134"/>
      <c r="G83" s="134"/>
      <c r="H83" s="134"/>
      <c r="I83" s="134"/>
      <c r="J83" s="134"/>
      <c r="K83" s="134"/>
      <c r="L83" s="134"/>
      <c r="M83" s="134"/>
      <c r="N83" s="134"/>
      <c r="O83" s="134"/>
      <c r="P83" s="134"/>
      <c r="Q83" s="134"/>
      <c r="R83" s="134"/>
      <c r="S83" s="134"/>
      <c r="T83" s="134"/>
      <c r="U83" s="134"/>
      <c r="V83" s="134"/>
      <c r="W83" s="134"/>
      <c r="X83" s="134"/>
      <c r="Y83" s="134"/>
      <c r="Z83" s="134"/>
      <c r="AA83" s="134"/>
      <c r="AB83" s="134"/>
      <c r="AC83" s="134"/>
      <c r="AD83" s="134"/>
      <c r="AE83" s="134"/>
      <c r="AF83" s="134"/>
      <c r="AG83" s="134"/>
    </row>
    <row r="84" spans="2:34" ht="3" customHeight="1" x14ac:dyDescent="0.25"/>
    <row r="85" spans="2:34" x14ac:dyDescent="0.25">
      <c r="B85" t="s">
        <v>198</v>
      </c>
    </row>
    <row r="86" spans="2:34" ht="3" customHeight="1" x14ac:dyDescent="0.25"/>
    <row r="87" spans="2:34" x14ac:dyDescent="0.25">
      <c r="C87" s="134" t="s">
        <v>176</v>
      </c>
      <c r="D87" s="134"/>
      <c r="E87" s="134"/>
      <c r="F87" s="134"/>
      <c r="G87" s="134"/>
      <c r="H87" s="134"/>
      <c r="I87" s="134"/>
      <c r="J87" s="134"/>
      <c r="K87" s="134"/>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row>
    <row r="88" spans="2:34" x14ac:dyDescent="0.25">
      <c r="C88" s="134"/>
      <c r="D88" s="134"/>
      <c r="E88" s="134"/>
      <c r="F88" s="134"/>
      <c r="G88" s="134"/>
      <c r="H88" s="134"/>
      <c r="I88" s="134"/>
      <c r="J88" s="134"/>
      <c r="K88" s="134"/>
      <c r="L88" s="134"/>
      <c r="M88" s="134"/>
      <c r="N88" s="134"/>
      <c r="O88" s="134"/>
      <c r="P88" s="134"/>
      <c r="Q88" s="134"/>
      <c r="R88" s="134"/>
      <c r="S88" s="134"/>
      <c r="T88" s="134"/>
      <c r="U88" s="134"/>
      <c r="V88" s="134"/>
      <c r="W88" s="134"/>
      <c r="X88" s="134"/>
      <c r="Y88" s="134"/>
      <c r="Z88" s="134"/>
      <c r="AA88" s="134"/>
      <c r="AB88" s="134"/>
      <c r="AC88" s="134"/>
      <c r="AD88" s="134"/>
      <c r="AE88" s="134"/>
      <c r="AF88" s="134"/>
      <c r="AG88" s="134"/>
      <c r="AH88" s="134"/>
    </row>
    <row r="89" spans="2:34" ht="3" customHeight="1" x14ac:dyDescent="0.25"/>
    <row r="90" spans="2:34" x14ac:dyDescent="0.25">
      <c r="C90" t="s">
        <v>177</v>
      </c>
    </row>
    <row r="91" spans="2:34" ht="3" customHeight="1" x14ac:dyDescent="0.25"/>
    <row r="92" spans="2:34" x14ac:dyDescent="0.25">
      <c r="C92" t="s">
        <v>178</v>
      </c>
    </row>
    <row r="93" spans="2:34" ht="3" customHeight="1" x14ac:dyDescent="0.25"/>
    <row r="94" spans="2:34" ht="15" customHeight="1" x14ac:dyDescent="0.25">
      <c r="C94" s="134" t="s">
        <v>179</v>
      </c>
      <c r="D94" s="134"/>
      <c r="E94" s="134"/>
      <c r="F94" s="134"/>
      <c r="G94" s="134"/>
      <c r="H94" s="134"/>
      <c r="I94" s="134"/>
      <c r="J94" s="134"/>
      <c r="K94" s="134"/>
      <c r="L94" s="134"/>
      <c r="M94" s="134"/>
      <c r="N94" s="134"/>
      <c r="O94" s="134"/>
      <c r="P94" s="134"/>
      <c r="Q94" s="134"/>
      <c r="R94" s="134"/>
      <c r="S94" s="134"/>
      <c r="T94" s="134"/>
      <c r="U94" s="134"/>
      <c r="V94" s="134"/>
      <c r="W94" s="134"/>
      <c r="X94" s="134"/>
      <c r="Y94" s="134"/>
      <c r="Z94" s="134"/>
      <c r="AA94" s="134"/>
      <c r="AB94" s="134"/>
      <c r="AC94" s="134"/>
      <c r="AD94" s="134"/>
      <c r="AE94" s="134"/>
      <c r="AF94" s="134"/>
      <c r="AG94" s="134"/>
      <c r="AH94" s="134"/>
    </row>
    <row r="95" spans="2:34" x14ac:dyDescent="0.25">
      <c r="C95" s="134"/>
      <c r="D95" s="134"/>
      <c r="E95" s="134"/>
      <c r="F95" s="134"/>
      <c r="G95" s="134"/>
      <c r="H95" s="134"/>
      <c r="I95" s="134"/>
      <c r="J95" s="134"/>
      <c r="K95" s="134"/>
      <c r="L95" s="134"/>
      <c r="M95" s="134"/>
      <c r="N95" s="134"/>
      <c r="O95" s="134"/>
      <c r="P95" s="134"/>
      <c r="Q95" s="134"/>
      <c r="R95" s="134"/>
      <c r="S95" s="134"/>
      <c r="T95" s="134"/>
      <c r="U95" s="134"/>
      <c r="V95" s="134"/>
      <c r="W95" s="134"/>
      <c r="X95" s="134"/>
      <c r="Y95" s="134"/>
      <c r="Z95" s="134"/>
      <c r="AA95" s="134"/>
      <c r="AB95" s="134"/>
      <c r="AC95" s="134"/>
      <c r="AD95" s="134"/>
      <c r="AE95" s="134"/>
      <c r="AF95" s="134"/>
      <c r="AG95" s="134"/>
      <c r="AH95" s="134"/>
    </row>
    <row r="96" spans="2:34" x14ac:dyDescent="0.25">
      <c r="C96" s="134"/>
      <c r="D96" s="134"/>
      <c r="E96" s="134"/>
      <c r="F96" s="134"/>
      <c r="G96" s="134"/>
      <c r="H96" s="134"/>
      <c r="I96" s="134"/>
      <c r="J96" s="134"/>
      <c r="K96" s="134"/>
      <c r="L96" s="134"/>
      <c r="M96" s="134"/>
      <c r="N96" s="134"/>
      <c r="O96" s="134"/>
      <c r="P96" s="134"/>
      <c r="Q96" s="134"/>
      <c r="R96" s="134"/>
      <c r="S96" s="134"/>
      <c r="T96" s="134"/>
      <c r="U96" s="134"/>
      <c r="V96" s="134"/>
      <c r="W96" s="134"/>
      <c r="X96" s="134"/>
      <c r="Y96" s="134"/>
      <c r="Z96" s="134"/>
      <c r="AA96" s="134"/>
      <c r="AB96" s="134"/>
      <c r="AC96" s="134"/>
      <c r="AD96" s="134"/>
      <c r="AE96" s="134"/>
      <c r="AF96" s="134"/>
      <c r="AG96" s="134"/>
      <c r="AH96" s="134"/>
    </row>
    <row r="97" spans="2:34" x14ac:dyDescent="0.25">
      <c r="C97" s="134"/>
      <c r="D97" s="134"/>
      <c r="E97" s="134"/>
      <c r="F97" s="134"/>
      <c r="G97" s="134"/>
      <c r="H97" s="134"/>
      <c r="I97" s="134"/>
      <c r="J97" s="134"/>
      <c r="K97" s="134"/>
      <c r="L97" s="134"/>
      <c r="M97" s="134"/>
      <c r="N97" s="134"/>
      <c r="O97" s="134"/>
      <c r="P97" s="134"/>
      <c r="Q97" s="134"/>
      <c r="R97" s="134"/>
      <c r="S97" s="134"/>
      <c r="T97" s="134"/>
      <c r="U97" s="134"/>
      <c r="V97" s="134"/>
      <c r="W97" s="134"/>
      <c r="X97" s="134"/>
      <c r="Y97" s="134"/>
      <c r="Z97" s="134"/>
      <c r="AA97" s="134"/>
      <c r="AB97" s="134"/>
      <c r="AC97" s="134"/>
      <c r="AD97" s="134"/>
      <c r="AE97" s="134"/>
      <c r="AF97" s="134"/>
      <c r="AG97" s="134"/>
      <c r="AH97" s="134"/>
    </row>
    <row r="98" spans="2:34" x14ac:dyDescent="0.25">
      <c r="C98" s="134"/>
      <c r="D98" s="134"/>
      <c r="E98" s="134"/>
      <c r="F98" s="134"/>
      <c r="G98" s="134"/>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row>
    <row r="99" spans="2:34" ht="3" customHeight="1" x14ac:dyDescent="0.25"/>
    <row r="100" spans="2:34" x14ac:dyDescent="0.25">
      <c r="B100" t="s">
        <v>511</v>
      </c>
    </row>
    <row r="101" spans="2:34" ht="3" customHeight="1" x14ac:dyDescent="0.25"/>
    <row r="102" spans="2:34" x14ac:dyDescent="0.25">
      <c r="C102" s="134" t="s">
        <v>192</v>
      </c>
      <c r="D102" s="134"/>
      <c r="E102" s="134"/>
      <c r="F102" s="134"/>
      <c r="G102" s="134"/>
      <c r="H102" s="134"/>
      <c r="I102" s="134"/>
      <c r="J102" s="134"/>
      <c r="K102" s="134"/>
      <c r="L102" s="134"/>
      <c r="M102" s="134"/>
      <c r="N102" s="134"/>
      <c r="O102" s="134"/>
      <c r="P102" s="134"/>
      <c r="Q102" s="134"/>
      <c r="R102" s="134"/>
      <c r="S102" s="134"/>
      <c r="T102" s="134"/>
      <c r="U102" s="134"/>
      <c r="V102" s="134"/>
      <c r="W102" s="134"/>
      <c r="X102" s="134"/>
      <c r="Y102" s="134"/>
      <c r="Z102" s="134"/>
      <c r="AA102" s="134"/>
      <c r="AB102" s="134"/>
      <c r="AC102" s="134"/>
      <c r="AD102" s="134"/>
      <c r="AE102" s="134"/>
      <c r="AF102" s="134"/>
      <c r="AG102" s="134"/>
    </row>
    <row r="103" spans="2:34" x14ac:dyDescent="0.25">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134"/>
      <c r="AD103" s="134"/>
      <c r="AE103" s="134"/>
      <c r="AF103" s="134"/>
      <c r="AG103" s="134"/>
    </row>
    <row r="104" spans="2:34" x14ac:dyDescent="0.25">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134"/>
      <c r="Y104" s="134"/>
      <c r="Z104" s="134"/>
      <c r="AA104" s="134"/>
      <c r="AB104" s="134"/>
      <c r="AC104" s="134"/>
      <c r="AD104" s="134"/>
      <c r="AE104" s="134"/>
      <c r="AF104" s="134"/>
      <c r="AG104" s="134"/>
    </row>
    <row r="105" spans="2:34" ht="3" customHeight="1" x14ac:dyDescent="0.25"/>
    <row r="106" spans="2:34" x14ac:dyDescent="0.25">
      <c r="C106" s="134" t="s">
        <v>191</v>
      </c>
      <c r="D106" s="134"/>
      <c r="E106" s="134"/>
      <c r="F106" s="134"/>
      <c r="G106" s="134"/>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row>
    <row r="107" spans="2:34" x14ac:dyDescent="0.25">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row>
    <row r="108" spans="2:34" x14ac:dyDescent="0.25">
      <c r="C108" s="134"/>
      <c r="D108" s="134"/>
      <c r="E108" s="134"/>
      <c r="F108" s="134"/>
      <c r="G108" s="134"/>
      <c r="H108" s="134"/>
      <c r="I108" s="134"/>
      <c r="J108" s="134"/>
      <c r="K108" s="134"/>
      <c r="L108" s="134"/>
      <c r="M108" s="134"/>
      <c r="N108" s="134"/>
      <c r="O108" s="134"/>
      <c r="P108" s="134"/>
      <c r="Q108" s="134"/>
      <c r="R108" s="134"/>
      <c r="S108" s="134"/>
      <c r="T108" s="134"/>
      <c r="U108" s="134"/>
      <c r="V108" s="134"/>
      <c r="W108" s="134"/>
      <c r="X108" s="134"/>
      <c r="Y108" s="134"/>
      <c r="Z108" s="134"/>
      <c r="AA108" s="134"/>
      <c r="AB108" s="134"/>
      <c r="AC108" s="134"/>
      <c r="AD108" s="134"/>
      <c r="AE108" s="134"/>
      <c r="AF108" s="134"/>
      <c r="AG108" s="134"/>
    </row>
    <row r="109" spans="2:34" ht="3" customHeight="1" x14ac:dyDescent="0.25"/>
    <row r="110" spans="2:34" ht="15" customHeight="1" x14ac:dyDescent="0.25">
      <c r="C110" s="134" t="s">
        <v>190</v>
      </c>
      <c r="D110" s="134"/>
      <c r="E110" s="134"/>
      <c r="F110" s="134"/>
      <c r="G110" s="134"/>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c r="AD110" s="134"/>
      <c r="AE110" s="134"/>
      <c r="AF110" s="134"/>
      <c r="AG110" s="134"/>
    </row>
    <row r="111" spans="2:34" x14ac:dyDescent="0.25">
      <c r="C111" s="134"/>
      <c r="D111" s="134"/>
      <c r="E111" s="134"/>
      <c r="F111" s="134"/>
      <c r="G111" s="134"/>
      <c r="H111" s="134"/>
      <c r="I111" s="134"/>
      <c r="J111" s="134"/>
      <c r="K111" s="134"/>
      <c r="L111" s="134"/>
      <c r="M111" s="134"/>
      <c r="N111" s="134"/>
      <c r="O111" s="134"/>
      <c r="P111" s="134"/>
      <c r="Q111" s="134"/>
      <c r="R111" s="134"/>
      <c r="S111" s="134"/>
      <c r="T111" s="134"/>
      <c r="U111" s="134"/>
      <c r="V111" s="134"/>
      <c r="W111" s="134"/>
      <c r="X111" s="134"/>
      <c r="Y111" s="134"/>
      <c r="Z111" s="134"/>
      <c r="AA111" s="134"/>
      <c r="AB111" s="134"/>
      <c r="AC111" s="134"/>
      <c r="AD111" s="134"/>
      <c r="AE111" s="134"/>
      <c r="AF111" s="134"/>
      <c r="AG111" s="134"/>
    </row>
    <row r="112" spans="2:34" x14ac:dyDescent="0.25">
      <c r="C112" s="134"/>
      <c r="D112" s="134"/>
      <c r="E112" s="134"/>
      <c r="F112" s="134"/>
      <c r="G112" s="134"/>
      <c r="H112" s="134"/>
      <c r="I112" s="134"/>
      <c r="J112" s="134"/>
      <c r="K112" s="134"/>
      <c r="L112" s="134"/>
      <c r="M112" s="134"/>
      <c r="N112" s="134"/>
      <c r="O112" s="134"/>
      <c r="P112" s="134"/>
      <c r="Q112" s="134"/>
      <c r="R112" s="134"/>
      <c r="S112" s="134"/>
      <c r="T112" s="134"/>
      <c r="U112" s="134"/>
      <c r="V112" s="134"/>
      <c r="W112" s="134"/>
      <c r="X112" s="134"/>
      <c r="Y112" s="134"/>
      <c r="Z112" s="134"/>
      <c r="AA112" s="134"/>
      <c r="AB112" s="134"/>
      <c r="AC112" s="134"/>
      <c r="AD112" s="134"/>
      <c r="AE112" s="134"/>
      <c r="AF112" s="134"/>
      <c r="AG112" s="134"/>
    </row>
    <row r="113" spans="2:33" x14ac:dyDescent="0.25">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134"/>
      <c r="Y113" s="134"/>
      <c r="Z113" s="134"/>
      <c r="AA113" s="134"/>
      <c r="AB113" s="134"/>
      <c r="AC113" s="134"/>
      <c r="AD113" s="134"/>
      <c r="AE113" s="134"/>
      <c r="AF113" s="134"/>
      <c r="AG113" s="134"/>
    </row>
    <row r="114" spans="2:33" x14ac:dyDescent="0.25">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134"/>
      <c r="Y114" s="134"/>
      <c r="Z114" s="134"/>
      <c r="AA114" s="134"/>
      <c r="AB114" s="134"/>
      <c r="AC114" s="134"/>
      <c r="AD114" s="134"/>
      <c r="AE114" s="134"/>
      <c r="AF114" s="134"/>
      <c r="AG114" s="134"/>
    </row>
    <row r="115" spans="2:33" ht="3" customHeight="1" x14ac:dyDescent="0.25"/>
    <row r="116" spans="2:33" x14ac:dyDescent="0.25">
      <c r="C116" s="134" t="s">
        <v>483</v>
      </c>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4"/>
      <c r="Z116" s="134"/>
      <c r="AA116" s="134"/>
      <c r="AB116" s="134"/>
      <c r="AC116" s="134"/>
      <c r="AD116" s="134"/>
      <c r="AE116" s="134"/>
      <c r="AF116" s="134"/>
      <c r="AG116" s="134"/>
    </row>
    <row r="117" spans="2:33" x14ac:dyDescent="0.25">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row>
    <row r="118" spans="2:33" ht="3" customHeight="1" x14ac:dyDescent="0.25"/>
    <row r="119" spans="2:33" ht="15" customHeight="1" x14ac:dyDescent="0.25">
      <c r="C119" s="134" t="s">
        <v>180</v>
      </c>
      <c r="D119" s="134"/>
      <c r="E119" s="134"/>
      <c r="F119" s="134"/>
      <c r="G119" s="134"/>
      <c r="H119" s="134"/>
      <c r="I119" s="134"/>
      <c r="J119" s="134"/>
      <c r="K119" s="134"/>
      <c r="L119" s="134"/>
      <c r="M119" s="134"/>
      <c r="N119" s="134"/>
      <c r="O119" s="134"/>
      <c r="P119" s="134"/>
      <c r="Q119" s="134"/>
      <c r="R119" s="134"/>
      <c r="S119" s="134"/>
      <c r="T119" s="134"/>
      <c r="U119" s="134"/>
      <c r="V119" s="134"/>
      <c r="W119" s="134"/>
      <c r="X119" s="134"/>
      <c r="Y119" s="134"/>
      <c r="Z119" s="134"/>
      <c r="AA119" s="134"/>
      <c r="AB119" s="134"/>
      <c r="AC119" s="134"/>
      <c r="AD119" s="134"/>
      <c r="AE119" s="134"/>
      <c r="AF119" s="134"/>
      <c r="AG119" s="134"/>
    </row>
    <row r="120" spans="2:33" x14ac:dyDescent="0.25">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134"/>
      <c r="Y120" s="134"/>
      <c r="Z120" s="134"/>
      <c r="AA120" s="134"/>
      <c r="AB120" s="134"/>
      <c r="AC120" s="134"/>
      <c r="AD120" s="134"/>
      <c r="AE120" s="134"/>
      <c r="AF120" s="134"/>
      <c r="AG120" s="134"/>
    </row>
    <row r="121" spans="2:33" x14ac:dyDescent="0.25">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134"/>
      <c r="Y121" s="134"/>
      <c r="Z121" s="134"/>
      <c r="AA121" s="134"/>
      <c r="AB121" s="134"/>
      <c r="AC121" s="134"/>
      <c r="AD121" s="134"/>
      <c r="AE121" s="134"/>
      <c r="AF121" s="134"/>
      <c r="AG121" s="134"/>
    </row>
    <row r="122" spans="2:33" ht="3" customHeight="1" x14ac:dyDescent="0.25"/>
    <row r="123" spans="2:33" ht="15" customHeight="1" x14ac:dyDescent="0.25">
      <c r="C123" s="134" t="s">
        <v>197</v>
      </c>
      <c r="D123" s="134"/>
      <c r="E123" s="134"/>
      <c r="F123" s="134"/>
      <c r="G123" s="134"/>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row>
    <row r="124" spans="2:33" x14ac:dyDescent="0.25">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134"/>
      <c r="Y124" s="134"/>
      <c r="Z124" s="134"/>
      <c r="AA124" s="134"/>
      <c r="AB124" s="134"/>
      <c r="AC124" s="134"/>
      <c r="AD124" s="134"/>
      <c r="AE124" s="134"/>
      <c r="AF124" s="134"/>
      <c r="AG124" s="134"/>
    </row>
    <row r="125" spans="2:33" x14ac:dyDescent="0.25">
      <c r="C125" s="134"/>
      <c r="D125" s="134"/>
      <c r="E125" s="134"/>
      <c r="F125" s="134"/>
      <c r="G125" s="134"/>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row>
    <row r="126" spans="2:33" x14ac:dyDescent="0.25">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row>
    <row r="127" spans="2:33" ht="3" customHeight="1" x14ac:dyDescent="0.25"/>
    <row r="128" spans="2:33" x14ac:dyDescent="0.25">
      <c r="B128" t="s">
        <v>512</v>
      </c>
    </row>
    <row r="129" spans="2:33" ht="3" customHeight="1" x14ac:dyDescent="0.25"/>
    <row r="130" spans="2:33" x14ac:dyDescent="0.25">
      <c r="B130" s="134" t="s">
        <v>513</v>
      </c>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134"/>
      <c r="Y130" s="134"/>
      <c r="Z130" s="134"/>
      <c r="AA130" s="134"/>
      <c r="AB130" s="134"/>
      <c r="AC130" s="134"/>
      <c r="AD130" s="134"/>
      <c r="AE130" s="134"/>
      <c r="AF130" s="134"/>
      <c r="AG130" s="134"/>
    </row>
    <row r="131" spans="2:33" x14ac:dyDescent="0.25">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row>
    <row r="132" spans="2:33" x14ac:dyDescent="0.25">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row>
    <row r="133" spans="2:33" ht="3" customHeight="1" x14ac:dyDescent="0.25"/>
    <row r="134" spans="2:33" x14ac:dyDescent="0.25">
      <c r="B134" t="s">
        <v>181</v>
      </c>
    </row>
    <row r="135" spans="2:33" ht="3" customHeight="1" x14ac:dyDescent="0.25"/>
    <row r="136" spans="2:33" x14ac:dyDescent="0.25">
      <c r="B136" s="134" t="s">
        <v>182</v>
      </c>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134"/>
      <c r="Y136" s="134"/>
      <c r="Z136" s="134"/>
      <c r="AA136" s="134"/>
      <c r="AB136" s="134"/>
      <c r="AC136" s="134"/>
      <c r="AD136" s="134"/>
      <c r="AE136" s="134"/>
      <c r="AF136" s="134"/>
      <c r="AG136" s="134"/>
    </row>
    <row r="137" spans="2:33" x14ac:dyDescent="0.25">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row>
    <row r="138" spans="2:33" x14ac:dyDescent="0.25">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c r="X138" s="134"/>
      <c r="Y138" s="134"/>
      <c r="Z138" s="134"/>
      <c r="AA138" s="134"/>
      <c r="AB138" s="134"/>
      <c r="AC138" s="134"/>
      <c r="AD138" s="134"/>
      <c r="AE138" s="134"/>
      <c r="AF138" s="134"/>
      <c r="AG138" s="134"/>
    </row>
    <row r="139" spans="2:33" ht="3" customHeight="1" x14ac:dyDescent="0.25"/>
    <row r="140" spans="2:33" x14ac:dyDescent="0.25">
      <c r="B140" t="s">
        <v>193</v>
      </c>
    </row>
    <row r="141" spans="2:33" ht="3" customHeight="1" x14ac:dyDescent="0.25"/>
    <row r="142" spans="2:33" x14ac:dyDescent="0.25">
      <c r="B142" t="s">
        <v>183</v>
      </c>
    </row>
    <row r="143" spans="2:33" ht="3" customHeight="1" x14ac:dyDescent="0.25"/>
    <row r="144" spans="2:33" x14ac:dyDescent="0.25">
      <c r="B144" t="s">
        <v>184</v>
      </c>
    </row>
    <row r="145" spans="2:33" ht="3" customHeight="1" x14ac:dyDescent="0.25"/>
    <row r="146" spans="2:33" x14ac:dyDescent="0.25">
      <c r="B146" s="134" t="s">
        <v>514</v>
      </c>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row>
    <row r="147" spans="2:33" x14ac:dyDescent="0.25">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c r="AD147" s="134"/>
      <c r="AE147" s="134"/>
      <c r="AF147" s="134"/>
      <c r="AG147" s="134"/>
    </row>
    <row r="148" spans="2:33" ht="3" customHeight="1" x14ac:dyDescent="0.25"/>
    <row r="149" spans="2:33" x14ac:dyDescent="0.25">
      <c r="B149" t="s">
        <v>515</v>
      </c>
    </row>
    <row r="150" spans="2:33" ht="3" customHeight="1" x14ac:dyDescent="0.25"/>
    <row r="151" spans="2:33" x14ac:dyDescent="0.25">
      <c r="B151" t="s">
        <v>516</v>
      </c>
    </row>
    <row r="152" spans="2:33" ht="3" customHeight="1" x14ac:dyDescent="0.25"/>
    <row r="153" spans="2:33" x14ac:dyDescent="0.25">
      <c r="C153" s="291" t="s">
        <v>185</v>
      </c>
      <c r="D153" s="291"/>
      <c r="E153" s="291"/>
      <c r="F153" s="291"/>
      <c r="G153" s="291"/>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row>
    <row r="154" spans="2:33" x14ac:dyDescent="0.25">
      <c r="C154" s="291"/>
      <c r="D154" s="291"/>
      <c r="E154" s="291"/>
      <c r="F154" s="291"/>
      <c r="G154" s="291"/>
      <c r="H154" s="291"/>
      <c r="I154" s="291"/>
      <c r="J154" s="291"/>
      <c r="K154" s="291"/>
      <c r="L154" s="291"/>
      <c r="M154" s="291"/>
      <c r="N154" s="291"/>
      <c r="O154" s="291"/>
      <c r="P154" s="291"/>
      <c r="Q154" s="291"/>
      <c r="R154" s="291"/>
      <c r="S154" s="291"/>
      <c r="T154" s="291"/>
      <c r="U154" s="291"/>
      <c r="V154" s="291"/>
      <c r="W154" s="291"/>
      <c r="X154" s="291"/>
      <c r="Y154" s="291"/>
      <c r="Z154" s="291"/>
      <c r="AA154" s="291"/>
      <c r="AB154" s="291"/>
      <c r="AC154" s="291"/>
      <c r="AD154" s="291"/>
      <c r="AE154" s="291"/>
      <c r="AF154" s="291"/>
      <c r="AG154" s="291"/>
    </row>
    <row r="155" spans="2:33" ht="3" customHeight="1" x14ac:dyDescent="0.25"/>
    <row r="156" spans="2:33" ht="15" customHeight="1" x14ac:dyDescent="0.25">
      <c r="C156" s="134" t="s">
        <v>186</v>
      </c>
      <c r="D156" s="134"/>
      <c r="E156" s="134"/>
      <c r="F156" s="134"/>
      <c r="G156" s="134"/>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row>
    <row r="157" spans="2:33" x14ac:dyDescent="0.25">
      <c r="C157" s="134"/>
      <c r="D157" s="134"/>
      <c r="E157" s="134"/>
      <c r="F157" s="134"/>
      <c r="G157" s="134"/>
      <c r="H157" s="134"/>
      <c r="I157" s="134"/>
      <c r="J157" s="134"/>
      <c r="K157" s="134"/>
      <c r="L157" s="134"/>
      <c r="M157" s="134"/>
      <c r="N157" s="134"/>
      <c r="O157" s="134"/>
      <c r="P157" s="134"/>
      <c r="Q157" s="134"/>
      <c r="R157" s="134"/>
      <c r="S157" s="134"/>
      <c r="T157" s="134"/>
      <c r="U157" s="134"/>
      <c r="V157" s="134"/>
      <c r="W157" s="134"/>
      <c r="X157" s="134"/>
      <c r="Y157" s="134"/>
      <c r="Z157" s="134"/>
      <c r="AA157" s="134"/>
      <c r="AB157" s="134"/>
      <c r="AC157" s="134"/>
      <c r="AD157" s="134"/>
      <c r="AE157" s="134"/>
      <c r="AF157" s="134"/>
      <c r="AG157" s="134"/>
    </row>
    <row r="158" spans="2:33" x14ac:dyDescent="0.25">
      <c r="C158" s="134"/>
      <c r="D158" s="134"/>
      <c r="E158" s="134"/>
      <c r="F158" s="134"/>
      <c r="G158" s="134"/>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row>
    <row r="159" spans="2:33" ht="3" customHeight="1" x14ac:dyDescent="0.25"/>
    <row r="160" spans="2:33" x14ac:dyDescent="0.25">
      <c r="B160" t="s">
        <v>517</v>
      </c>
    </row>
    <row r="161" spans="2:33" ht="3" customHeight="1" x14ac:dyDescent="0.25"/>
    <row r="162" spans="2:33" x14ac:dyDescent="0.25">
      <c r="B162" t="s">
        <v>518</v>
      </c>
    </row>
    <row r="163" spans="2:33" ht="3" customHeight="1" x14ac:dyDescent="0.25"/>
    <row r="164" spans="2:33" x14ac:dyDescent="0.25">
      <c r="B164" t="s">
        <v>519</v>
      </c>
    </row>
    <row r="165" spans="2:33" ht="3" customHeight="1" x14ac:dyDescent="0.25"/>
    <row r="166" spans="2:33" ht="15" customHeight="1" x14ac:dyDescent="0.25">
      <c r="B166" s="134" t="s">
        <v>520</v>
      </c>
      <c r="C166" s="134"/>
      <c r="D166" s="134"/>
      <c r="E166" s="134"/>
      <c r="F166" s="134"/>
      <c r="G166" s="134"/>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row>
    <row r="167" spans="2:33" x14ac:dyDescent="0.25">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c r="X167" s="134"/>
      <c r="Y167" s="134"/>
      <c r="Z167" s="134"/>
      <c r="AA167" s="134"/>
      <c r="AB167" s="134"/>
      <c r="AC167" s="134"/>
      <c r="AD167" s="134"/>
      <c r="AE167" s="134"/>
      <c r="AF167" s="134"/>
      <c r="AG167" s="134"/>
    </row>
    <row r="168" spans="2:33" x14ac:dyDescent="0.25">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c r="X168" s="134"/>
      <c r="Y168" s="134"/>
      <c r="Z168" s="134"/>
      <c r="AA168" s="134"/>
      <c r="AB168" s="134"/>
      <c r="AC168" s="134"/>
      <c r="AD168" s="134"/>
      <c r="AE168" s="134"/>
      <c r="AF168" s="134"/>
      <c r="AG168" s="134"/>
    </row>
  </sheetData>
  <sheetProtection algorithmName="SHA-512" hashValue="qE9O2eW6WjL0SxSOuu9Vzk7uoipdXfwcTKHXA7RT9/PQdsToZt0xqchzB0/3AKluZKWlKxO6olQv2jTdkUgVyw==" saltValue="yjTTBos14P8C5xd0zdiR+w==" spinCount="100000" sheet="1" objects="1" scenarios="1"/>
  <mergeCells count="56">
    <mergeCell ref="C156:AG158"/>
    <mergeCell ref="B4:AG6"/>
    <mergeCell ref="B8:AG9"/>
    <mergeCell ref="B11:AG12"/>
    <mergeCell ref="B130:AG132"/>
    <mergeCell ref="B136:AG138"/>
    <mergeCell ref="B146:AG147"/>
    <mergeCell ref="C153:AG154"/>
    <mergeCell ref="C119:AG121"/>
    <mergeCell ref="C123:AG126"/>
    <mergeCell ref="C106:AG108"/>
    <mergeCell ref="C110:AG114"/>
    <mergeCell ref="C116:AG117"/>
    <mergeCell ref="B80:AG83"/>
    <mergeCell ref="C87:AH88"/>
    <mergeCell ref="C102:AG104"/>
    <mergeCell ref="B39:AG40"/>
    <mergeCell ref="B42:AG44"/>
    <mergeCell ref="B47:AG48"/>
    <mergeCell ref="B50:AG53"/>
    <mergeCell ref="C94:AH98"/>
    <mergeCell ref="B45:AG46"/>
    <mergeCell ref="B71:AG77"/>
    <mergeCell ref="B55:AG56"/>
    <mergeCell ref="B64:AG65"/>
    <mergeCell ref="B66:AG66"/>
    <mergeCell ref="B67:AG69"/>
    <mergeCell ref="V21:AA21"/>
    <mergeCell ref="B26:AG28"/>
    <mergeCell ref="B23:AG24"/>
    <mergeCell ref="B31:AG33"/>
    <mergeCell ref="B35:AG37"/>
    <mergeCell ref="F16:I16"/>
    <mergeCell ref="F17:I17"/>
    <mergeCell ref="J16:Q16"/>
    <mergeCell ref="R16:U16"/>
    <mergeCell ref="V16:AA16"/>
    <mergeCell ref="J17:Q17"/>
    <mergeCell ref="R17:U17"/>
    <mergeCell ref="V17:AA17"/>
    <mergeCell ref="B166:AG168"/>
    <mergeCell ref="F18:I18"/>
    <mergeCell ref="J18:Q18"/>
    <mergeCell ref="R18:U18"/>
    <mergeCell ref="V18:AA18"/>
    <mergeCell ref="F19:I19"/>
    <mergeCell ref="J19:Q19"/>
    <mergeCell ref="R19:U19"/>
    <mergeCell ref="V19:AA19"/>
    <mergeCell ref="F20:I20"/>
    <mergeCell ref="J20:Q20"/>
    <mergeCell ref="R20:U20"/>
    <mergeCell ref="V20:AA20"/>
    <mergeCell ref="F21:I21"/>
    <mergeCell ref="J21:Q21"/>
    <mergeCell ref="R21:U21"/>
  </mergeCells>
  <pageMargins left="0.70866141732283461" right="0.70866141732283461" top="0.74803149606299213" bottom="0.3543307086614173" header="0.31496062992125984" footer="0.31496062992125984"/>
  <pageSetup paperSize="9" orientation="landscape" r:id="rId1"/>
  <headerFooter>
    <oddHeader xml:space="preserve">&amp;C </oddHeader>
    <oddFooter>&amp;R_x000D_&amp;1#&amp;"Calibri"&amp;10&amp;K000000 Classificação: Público</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FE908-F94D-425D-8B8F-7B9392EB712A}">
  <dimension ref="A1:A21"/>
  <sheetViews>
    <sheetView workbookViewId="0">
      <selection activeCell="A21" sqref="A21"/>
    </sheetView>
  </sheetViews>
  <sheetFormatPr defaultRowHeight="15" x14ac:dyDescent="0.25"/>
  <cols>
    <col min="1" max="1" width="165.5703125" customWidth="1"/>
  </cols>
  <sheetData>
    <row r="1" spans="1:1" x14ac:dyDescent="0.25">
      <c r="A1" s="55" t="s">
        <v>370</v>
      </c>
    </row>
    <row r="2" spans="1:1" x14ac:dyDescent="0.25">
      <c r="A2" t="s">
        <v>133</v>
      </c>
    </row>
    <row r="3" spans="1:1" x14ac:dyDescent="0.25">
      <c r="A3" t="s">
        <v>210</v>
      </c>
    </row>
    <row r="4" spans="1:1" x14ac:dyDescent="0.25">
      <c r="A4" s="55" t="s">
        <v>371</v>
      </c>
    </row>
    <row r="5" spans="1:1" x14ac:dyDescent="0.25">
      <c r="A5" t="s">
        <v>372</v>
      </c>
    </row>
    <row r="6" spans="1:1" x14ac:dyDescent="0.25">
      <c r="A6" t="s">
        <v>373</v>
      </c>
    </row>
    <row r="7" spans="1:1" x14ac:dyDescent="0.25">
      <c r="A7" t="s">
        <v>374</v>
      </c>
    </row>
    <row r="8" spans="1:1" x14ac:dyDescent="0.25">
      <c r="A8" t="s">
        <v>375</v>
      </c>
    </row>
    <row r="9" spans="1:1" x14ac:dyDescent="0.25">
      <c r="A9" t="s">
        <v>376</v>
      </c>
    </row>
    <row r="10" spans="1:1" x14ac:dyDescent="0.25">
      <c r="A10" s="55" t="s">
        <v>377</v>
      </c>
    </row>
    <row r="11" spans="1:1" x14ac:dyDescent="0.25">
      <c r="A11" t="s">
        <v>378</v>
      </c>
    </row>
    <row r="12" spans="1:1" x14ac:dyDescent="0.25">
      <c r="A12" t="s">
        <v>379</v>
      </c>
    </row>
    <row r="13" spans="1:1" x14ac:dyDescent="0.25">
      <c r="A13" t="s">
        <v>380</v>
      </c>
    </row>
    <row r="14" spans="1:1" x14ac:dyDescent="0.25">
      <c r="A14" t="s">
        <v>381</v>
      </c>
    </row>
    <row r="15" spans="1:1" x14ac:dyDescent="0.25">
      <c r="A15" s="55" t="s">
        <v>382</v>
      </c>
    </row>
    <row r="16" spans="1:1" ht="30.75" customHeight="1" x14ac:dyDescent="0.25">
      <c r="A16" s="50" t="s">
        <v>383</v>
      </c>
    </row>
    <row r="17" spans="1:1" x14ac:dyDescent="0.25">
      <c r="A17" t="s">
        <v>384</v>
      </c>
    </row>
    <row r="18" spans="1:1" x14ac:dyDescent="0.25">
      <c r="A18" s="55" t="s">
        <v>385</v>
      </c>
    </row>
    <row r="19" spans="1:1" x14ac:dyDescent="0.25">
      <c r="A19" t="s">
        <v>386</v>
      </c>
    </row>
    <row r="20" spans="1:1" x14ac:dyDescent="0.25">
      <c r="A20" t="s">
        <v>387</v>
      </c>
    </row>
    <row r="21" spans="1:1" x14ac:dyDescent="0.25">
      <c r="A21" t="s">
        <v>388</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3"/>
  <dimension ref="A1:L93"/>
  <sheetViews>
    <sheetView topLeftCell="A32" workbookViewId="0">
      <selection activeCell="I8" sqref="I8"/>
    </sheetView>
  </sheetViews>
  <sheetFormatPr defaultRowHeight="15" x14ac:dyDescent="0.25"/>
  <cols>
    <col min="1" max="1" width="87.42578125" bestFit="1" customWidth="1"/>
    <col min="2" max="2" width="13.140625" bestFit="1" customWidth="1"/>
    <col min="3" max="3" width="33.28515625" bestFit="1" customWidth="1"/>
    <col min="4" max="4" width="15.5703125" bestFit="1" customWidth="1"/>
    <col min="6" max="6" width="17.42578125" bestFit="1" customWidth="1"/>
  </cols>
  <sheetData>
    <row r="1" spans="1:12" x14ac:dyDescent="0.25">
      <c r="A1" s="9" t="s">
        <v>28</v>
      </c>
      <c r="B1" t="s">
        <v>29</v>
      </c>
      <c r="C1" t="s">
        <v>30</v>
      </c>
      <c r="D1" t="s">
        <v>31</v>
      </c>
      <c r="E1" t="s">
        <v>32</v>
      </c>
      <c r="F1" t="s">
        <v>33</v>
      </c>
    </row>
    <row r="2" spans="1:12" x14ac:dyDescent="0.25">
      <c r="A2" t="s">
        <v>7</v>
      </c>
      <c r="B2">
        <v>22</v>
      </c>
      <c r="C2">
        <v>487307</v>
      </c>
      <c r="D2">
        <v>833012</v>
      </c>
      <c r="E2">
        <v>7733378</v>
      </c>
      <c r="F2">
        <v>7981566</v>
      </c>
      <c r="H2">
        <f>Formulário!V27</f>
        <v>0</v>
      </c>
      <c r="I2">
        <f>Formulário!AC27</f>
        <v>0</v>
      </c>
      <c r="K2">
        <f>Formulário!AL27</f>
        <v>0</v>
      </c>
    </row>
    <row r="3" spans="1:12" x14ac:dyDescent="0.25">
      <c r="A3" t="s">
        <v>220</v>
      </c>
      <c r="B3">
        <v>23</v>
      </c>
      <c r="C3">
        <v>161564</v>
      </c>
      <c r="D3">
        <v>840139</v>
      </c>
      <c r="E3">
        <v>7460145</v>
      </c>
      <c r="F3">
        <v>8435094</v>
      </c>
      <c r="H3">
        <f>H2</f>
        <v>0</v>
      </c>
      <c r="I3" t="e">
        <f>VLOOKUP($H$2,$B$2:$F$4,2,FALSE)</f>
        <v>#N/A</v>
      </c>
      <c r="J3" t="e">
        <f>VLOOKUP($H$2,$B$2:$F$4,3,FALSE)</f>
        <v>#N/A</v>
      </c>
      <c r="K3" t="e">
        <f>VLOOKUP($H$2,$B$2:$F$4,4,FALSE)</f>
        <v>#N/A</v>
      </c>
      <c r="L3" t="e">
        <f>VLOOKUP($H$2,$B$2:$F$4,5,FALSE)</f>
        <v>#N/A</v>
      </c>
    </row>
    <row r="4" spans="1:12" x14ac:dyDescent="0.25">
      <c r="A4" t="s">
        <v>219</v>
      </c>
      <c r="B4">
        <v>24</v>
      </c>
      <c r="C4">
        <v>164869</v>
      </c>
      <c r="D4">
        <v>417150</v>
      </c>
      <c r="E4">
        <v>7673180</v>
      </c>
      <c r="F4">
        <v>8336360</v>
      </c>
      <c r="I4" t="e">
        <f>IF(AND(I2&gt;=I3,I2&lt;=J3),"Ok","Erro")</f>
        <v>#N/A</v>
      </c>
      <c r="K4" t="e">
        <f>IF(AND(K2&gt;=K3,K2&lt;=L3),"Ok","Erro")</f>
        <v>#N/A</v>
      </c>
    </row>
    <row r="5" spans="1:12" x14ac:dyDescent="0.25">
      <c r="A5" t="s">
        <v>218</v>
      </c>
    </row>
    <row r="9" spans="1:12" ht="18.75" x14ac:dyDescent="0.3">
      <c r="A9" s="24" t="s">
        <v>65</v>
      </c>
    </row>
    <row r="10" spans="1:12" ht="15.75" x14ac:dyDescent="0.25">
      <c r="A10" s="292" t="s">
        <v>66</v>
      </c>
      <c r="B10" s="292"/>
      <c r="C10" s="293" t="s">
        <v>67</v>
      </c>
    </row>
    <row r="11" spans="1:12" ht="15.75" x14ac:dyDescent="0.25">
      <c r="A11" s="21" t="s">
        <v>68</v>
      </c>
      <c r="B11" s="21" t="s">
        <v>69</v>
      </c>
      <c r="C11" s="293"/>
    </row>
    <row r="12" spans="1:12" ht="15.75" x14ac:dyDescent="0.25">
      <c r="A12" s="22" t="s">
        <v>70</v>
      </c>
      <c r="B12" s="22">
        <v>40</v>
      </c>
      <c r="C12" s="28">
        <v>5</v>
      </c>
      <c r="D12" t="s">
        <v>81</v>
      </c>
      <c r="E12" s="28">
        <v>5</v>
      </c>
    </row>
    <row r="13" spans="1:12" ht="15.75" x14ac:dyDescent="0.25">
      <c r="A13" s="22" t="s">
        <v>70</v>
      </c>
      <c r="B13" s="22">
        <v>50</v>
      </c>
      <c r="C13" s="22">
        <v>6.5</v>
      </c>
      <c r="D13" t="s">
        <v>82</v>
      </c>
      <c r="E13" s="22">
        <v>6.5</v>
      </c>
    </row>
    <row r="14" spans="1:12" ht="15.75" x14ac:dyDescent="0.25">
      <c r="A14" s="22" t="s">
        <v>70</v>
      </c>
      <c r="B14" s="22">
        <v>63</v>
      </c>
      <c r="C14" s="22">
        <v>10</v>
      </c>
      <c r="D14" t="s">
        <v>83</v>
      </c>
      <c r="E14" s="22">
        <v>10</v>
      </c>
    </row>
    <row r="15" spans="1:12" ht="15.75" x14ac:dyDescent="0.25">
      <c r="A15" s="22" t="s">
        <v>70</v>
      </c>
      <c r="B15" s="22">
        <v>70</v>
      </c>
      <c r="C15" s="22">
        <v>10</v>
      </c>
      <c r="D15" t="s">
        <v>84</v>
      </c>
      <c r="E15" s="22">
        <v>10</v>
      </c>
    </row>
    <row r="16" spans="1:12" ht="15.75" x14ac:dyDescent="0.25">
      <c r="A16" s="22" t="s">
        <v>61</v>
      </c>
      <c r="B16" s="22">
        <v>40</v>
      </c>
      <c r="C16" s="22">
        <v>10</v>
      </c>
      <c r="D16" t="s">
        <v>85</v>
      </c>
      <c r="E16" s="22">
        <v>10</v>
      </c>
    </row>
    <row r="17" spans="1:5" ht="15.75" x14ac:dyDescent="0.25">
      <c r="A17" s="22" t="s">
        <v>61</v>
      </c>
      <c r="B17" s="22">
        <v>50</v>
      </c>
      <c r="C17" s="22">
        <v>12</v>
      </c>
      <c r="D17" t="s">
        <v>86</v>
      </c>
      <c r="E17" s="22">
        <v>12</v>
      </c>
    </row>
    <row r="18" spans="1:5" ht="15.75" x14ac:dyDescent="0.25">
      <c r="A18" s="22" t="s">
        <v>61</v>
      </c>
      <c r="B18" s="22">
        <v>60</v>
      </c>
      <c r="C18" s="22">
        <v>15</v>
      </c>
      <c r="D18" t="s">
        <v>87</v>
      </c>
      <c r="E18" s="22">
        <v>15</v>
      </c>
    </row>
    <row r="19" spans="1:5" ht="15.75" x14ac:dyDescent="0.25">
      <c r="A19" s="22" t="s">
        <v>61</v>
      </c>
      <c r="B19" s="22">
        <v>63</v>
      </c>
      <c r="C19" s="22">
        <v>15</v>
      </c>
      <c r="D19" t="s">
        <v>88</v>
      </c>
      <c r="E19" s="22">
        <v>15</v>
      </c>
    </row>
    <row r="20" spans="1:5" ht="15.75" x14ac:dyDescent="0.25">
      <c r="A20" s="22" t="s">
        <v>61</v>
      </c>
      <c r="B20" s="22">
        <v>70</v>
      </c>
      <c r="C20" s="22">
        <v>16.8</v>
      </c>
      <c r="D20" t="s">
        <v>89</v>
      </c>
      <c r="E20" s="22">
        <v>16.8</v>
      </c>
    </row>
    <row r="21" spans="1:5" ht="15.75" x14ac:dyDescent="0.25">
      <c r="A21" s="22" t="s">
        <v>61</v>
      </c>
      <c r="B21" s="22">
        <v>80</v>
      </c>
      <c r="C21" s="22">
        <v>20</v>
      </c>
      <c r="D21" t="s">
        <v>90</v>
      </c>
      <c r="E21" s="22">
        <v>20</v>
      </c>
    </row>
    <row r="22" spans="1:5" ht="15.75" x14ac:dyDescent="0.25">
      <c r="A22" s="22" t="s">
        <v>61</v>
      </c>
      <c r="B22" s="23">
        <v>90</v>
      </c>
      <c r="C22" s="22">
        <v>20</v>
      </c>
      <c r="D22" t="s">
        <v>91</v>
      </c>
      <c r="E22" s="22">
        <v>20</v>
      </c>
    </row>
    <row r="23" spans="1:5" ht="15.75" x14ac:dyDescent="0.25">
      <c r="A23" s="22" t="s">
        <v>61</v>
      </c>
      <c r="B23" s="23">
        <v>100</v>
      </c>
      <c r="C23" s="22">
        <v>24</v>
      </c>
      <c r="D23" t="s">
        <v>92</v>
      </c>
      <c r="E23" s="22">
        <v>24</v>
      </c>
    </row>
    <row r="24" spans="1:5" ht="15.75" x14ac:dyDescent="0.25">
      <c r="A24" s="22" t="s">
        <v>61</v>
      </c>
      <c r="B24" s="23">
        <v>120</v>
      </c>
      <c r="C24" s="22">
        <v>30</v>
      </c>
      <c r="D24" t="s">
        <v>93</v>
      </c>
      <c r="E24" s="22">
        <v>30</v>
      </c>
    </row>
    <row r="25" spans="1:5" ht="15.75" x14ac:dyDescent="0.25">
      <c r="A25" s="22" t="s">
        <v>61</v>
      </c>
      <c r="B25" s="23">
        <v>125</v>
      </c>
      <c r="C25" s="22">
        <v>30</v>
      </c>
      <c r="D25" t="s">
        <v>94</v>
      </c>
      <c r="E25" s="22">
        <v>30</v>
      </c>
    </row>
    <row r="26" spans="1:5" ht="15.75" x14ac:dyDescent="0.25">
      <c r="A26" s="22" t="s">
        <v>61</v>
      </c>
      <c r="B26" s="23">
        <v>150</v>
      </c>
      <c r="C26" s="22">
        <v>36</v>
      </c>
      <c r="D26" t="s">
        <v>95</v>
      </c>
      <c r="E26" s="22">
        <v>36</v>
      </c>
    </row>
    <row r="27" spans="1:5" ht="15.75" x14ac:dyDescent="0.25">
      <c r="A27" s="22" t="s">
        <v>61</v>
      </c>
      <c r="B27" s="22">
        <v>200</v>
      </c>
      <c r="C27" s="22">
        <v>50</v>
      </c>
      <c r="D27" t="s">
        <v>96</v>
      </c>
      <c r="E27" s="22">
        <v>50</v>
      </c>
    </row>
    <row r="28" spans="1:5" ht="15.75" x14ac:dyDescent="0.25">
      <c r="A28" s="22" t="s">
        <v>62</v>
      </c>
      <c r="B28" s="22">
        <v>40</v>
      </c>
      <c r="C28" s="22">
        <v>15</v>
      </c>
      <c r="D28" t="s">
        <v>97</v>
      </c>
      <c r="E28" s="22">
        <v>15</v>
      </c>
    </row>
    <row r="29" spans="1:5" ht="15.75" x14ac:dyDescent="0.25">
      <c r="A29" s="22" t="s">
        <v>62</v>
      </c>
      <c r="B29" s="22">
        <v>60</v>
      </c>
      <c r="C29" s="22">
        <v>23</v>
      </c>
      <c r="D29" t="s">
        <v>98</v>
      </c>
      <c r="E29" s="22">
        <v>23</v>
      </c>
    </row>
    <row r="30" spans="1:5" ht="15.75" x14ac:dyDescent="0.25">
      <c r="A30" s="22" t="s">
        <v>62</v>
      </c>
      <c r="B30" s="22">
        <v>63</v>
      </c>
      <c r="C30" s="22">
        <v>23</v>
      </c>
      <c r="D30" t="s">
        <v>99</v>
      </c>
      <c r="E30" s="22">
        <v>23</v>
      </c>
    </row>
    <row r="31" spans="1:5" ht="15.75" x14ac:dyDescent="0.25">
      <c r="A31" s="22" t="s">
        <v>62</v>
      </c>
      <c r="B31" s="22">
        <v>70</v>
      </c>
      <c r="C31" s="22">
        <v>27</v>
      </c>
      <c r="D31" t="s">
        <v>100</v>
      </c>
      <c r="E31" s="22">
        <v>27</v>
      </c>
    </row>
    <row r="32" spans="1:5" ht="15.75" x14ac:dyDescent="0.25">
      <c r="A32" s="22" t="s">
        <v>62</v>
      </c>
      <c r="B32" s="22">
        <v>80</v>
      </c>
      <c r="C32" s="22">
        <v>27</v>
      </c>
      <c r="D32" t="s">
        <v>101</v>
      </c>
      <c r="E32" s="22">
        <v>27</v>
      </c>
    </row>
    <row r="33" spans="1:5" ht="15.75" x14ac:dyDescent="0.25">
      <c r="A33" s="22" t="s">
        <v>62</v>
      </c>
      <c r="B33" s="22">
        <v>100</v>
      </c>
      <c r="C33" s="22">
        <v>38</v>
      </c>
      <c r="D33" t="s">
        <v>102</v>
      </c>
      <c r="E33" s="22">
        <v>38</v>
      </c>
    </row>
    <row r="34" spans="1:5" ht="15.75" x14ac:dyDescent="0.25">
      <c r="A34" s="22" t="s">
        <v>62</v>
      </c>
      <c r="B34" s="22">
        <v>120</v>
      </c>
      <c r="C34" s="22">
        <v>47</v>
      </c>
      <c r="D34" t="s">
        <v>103</v>
      </c>
      <c r="E34" s="22">
        <v>47</v>
      </c>
    </row>
    <row r="35" spans="1:5" ht="15.75" x14ac:dyDescent="0.25">
      <c r="A35" s="22" t="s">
        <v>62</v>
      </c>
      <c r="B35" s="22">
        <v>125</v>
      </c>
      <c r="C35" s="22">
        <v>47</v>
      </c>
      <c r="D35" t="s">
        <v>104</v>
      </c>
      <c r="E35" s="22">
        <v>47</v>
      </c>
    </row>
    <row r="36" spans="1:5" ht="15.75" x14ac:dyDescent="0.25">
      <c r="A36" s="22" t="s">
        <v>62</v>
      </c>
      <c r="B36" s="22">
        <v>150</v>
      </c>
      <c r="C36" s="22">
        <v>57</v>
      </c>
      <c r="D36" t="s">
        <v>105</v>
      </c>
      <c r="E36" s="22">
        <v>57</v>
      </c>
    </row>
    <row r="37" spans="1:5" ht="15.75" x14ac:dyDescent="0.25">
      <c r="A37" s="22" t="s">
        <v>62</v>
      </c>
      <c r="B37" s="22">
        <v>175</v>
      </c>
      <c r="C37" s="22">
        <v>66</v>
      </c>
      <c r="D37" t="s">
        <v>106</v>
      </c>
      <c r="E37" s="22">
        <v>66</v>
      </c>
    </row>
    <row r="38" spans="1:5" ht="15.75" x14ac:dyDescent="0.25">
      <c r="A38" s="22" t="s">
        <v>62</v>
      </c>
      <c r="B38" s="22">
        <v>200</v>
      </c>
      <c r="C38" s="22">
        <v>75</v>
      </c>
      <c r="D38" t="s">
        <v>107</v>
      </c>
      <c r="E38" s="22">
        <v>75</v>
      </c>
    </row>
    <row r="39" spans="1:5" ht="15.75" x14ac:dyDescent="0.25">
      <c r="A39" s="22" t="s">
        <v>62</v>
      </c>
      <c r="B39" s="22">
        <v>225</v>
      </c>
      <c r="C39" s="22">
        <v>86</v>
      </c>
      <c r="D39" t="s">
        <v>108</v>
      </c>
      <c r="E39" s="22">
        <v>86</v>
      </c>
    </row>
    <row r="40" spans="1:5" ht="15.75" x14ac:dyDescent="0.25">
      <c r="A40" s="22" t="s">
        <v>62</v>
      </c>
      <c r="B40" s="22">
        <v>250</v>
      </c>
      <c r="C40" s="22">
        <v>95</v>
      </c>
      <c r="D40" t="s">
        <v>109</v>
      </c>
      <c r="E40" s="22">
        <v>95</v>
      </c>
    </row>
    <row r="41" spans="1:5" ht="15.75" x14ac:dyDescent="0.25">
      <c r="A41" s="22" t="s">
        <v>62</v>
      </c>
      <c r="B41" s="22">
        <v>300</v>
      </c>
      <c r="C41" s="22">
        <v>114</v>
      </c>
      <c r="D41" t="s">
        <v>110</v>
      </c>
      <c r="E41" s="22">
        <v>114</v>
      </c>
    </row>
    <row r="42" spans="1:5" ht="15.75" x14ac:dyDescent="0.25">
      <c r="A42" s="22" t="s">
        <v>62</v>
      </c>
      <c r="B42" s="22">
        <v>315</v>
      </c>
      <c r="C42" s="22">
        <v>114</v>
      </c>
      <c r="D42" t="s">
        <v>111</v>
      </c>
      <c r="E42" s="22">
        <v>114</v>
      </c>
    </row>
    <row r="43" spans="1:5" ht="15.75" x14ac:dyDescent="0.25">
      <c r="A43" s="22" t="s">
        <v>62</v>
      </c>
      <c r="B43" s="22">
        <v>320</v>
      </c>
      <c r="C43" s="22">
        <v>114</v>
      </c>
      <c r="D43" t="s">
        <v>112</v>
      </c>
      <c r="E43" s="22">
        <v>114</v>
      </c>
    </row>
    <row r="44" spans="1:5" ht="15.75" x14ac:dyDescent="0.25">
      <c r="A44" s="22" t="s">
        <v>62</v>
      </c>
      <c r="B44" s="22">
        <v>400</v>
      </c>
      <c r="C44" s="22">
        <v>152</v>
      </c>
      <c r="D44" t="s">
        <v>113</v>
      </c>
      <c r="E44" s="22">
        <v>152</v>
      </c>
    </row>
    <row r="45" spans="1:5" ht="15.75" x14ac:dyDescent="0.25">
      <c r="A45" s="22" t="s">
        <v>62</v>
      </c>
      <c r="B45" s="22">
        <v>450</v>
      </c>
      <c r="C45" s="22">
        <v>171</v>
      </c>
      <c r="D45" t="s">
        <v>114</v>
      </c>
      <c r="E45" s="22">
        <v>171</v>
      </c>
    </row>
    <row r="46" spans="1:5" ht="15.75" x14ac:dyDescent="0.25">
      <c r="A46" s="22" t="s">
        <v>62</v>
      </c>
      <c r="B46" s="22">
        <v>500</v>
      </c>
      <c r="C46" s="22">
        <v>188</v>
      </c>
      <c r="D46" t="s">
        <v>115</v>
      </c>
      <c r="E46" s="22">
        <v>188</v>
      </c>
    </row>
    <row r="47" spans="1:5" ht="15.75" x14ac:dyDescent="0.25">
      <c r="A47" s="22" t="s">
        <v>62</v>
      </c>
      <c r="B47" s="22">
        <v>600</v>
      </c>
      <c r="C47" s="22">
        <v>228</v>
      </c>
      <c r="D47" t="s">
        <v>116</v>
      </c>
      <c r="E47" s="22">
        <v>228</v>
      </c>
    </row>
    <row r="48" spans="1:5" ht="15.75" x14ac:dyDescent="0.25">
      <c r="A48" s="22" t="s">
        <v>62</v>
      </c>
      <c r="B48" s="22">
        <v>630</v>
      </c>
      <c r="C48" s="22">
        <v>228</v>
      </c>
      <c r="D48" t="s">
        <v>117</v>
      </c>
      <c r="E48" s="22">
        <v>228</v>
      </c>
    </row>
    <row r="49" spans="1:5" ht="15.75" x14ac:dyDescent="0.25">
      <c r="A49" s="22" t="s">
        <v>62</v>
      </c>
      <c r="B49" s="22">
        <v>700</v>
      </c>
      <c r="C49" s="22">
        <v>266</v>
      </c>
      <c r="D49" t="s">
        <v>118</v>
      </c>
      <c r="E49" s="22">
        <v>266</v>
      </c>
    </row>
    <row r="50" spans="1:5" ht="15.75" x14ac:dyDescent="0.25">
      <c r="A50" s="22" t="s">
        <v>62</v>
      </c>
      <c r="B50" s="22">
        <v>800</v>
      </c>
      <c r="C50" s="22">
        <v>304</v>
      </c>
      <c r="D50" t="s">
        <v>119</v>
      </c>
      <c r="E50" s="22">
        <v>304</v>
      </c>
    </row>
    <row r="56" spans="1:5" ht="18.75" x14ac:dyDescent="0.3">
      <c r="A56" s="294" t="s">
        <v>204</v>
      </c>
      <c r="B56" s="294"/>
    </row>
    <row r="57" spans="1:5" ht="15.75" x14ac:dyDescent="0.25">
      <c r="A57" s="292" t="s">
        <v>66</v>
      </c>
      <c r="B57" s="292"/>
    </row>
    <row r="58" spans="1:5" ht="15.75" x14ac:dyDescent="0.25">
      <c r="A58" s="21" t="s">
        <v>68</v>
      </c>
      <c r="B58" s="21" t="s">
        <v>69</v>
      </c>
    </row>
    <row r="59" spans="1:5" ht="15.75" x14ac:dyDescent="0.25">
      <c r="A59" s="56" t="s">
        <v>61</v>
      </c>
      <c r="B59" s="56">
        <v>60</v>
      </c>
    </row>
    <row r="60" spans="1:5" ht="15.75" x14ac:dyDescent="0.25">
      <c r="A60" s="56" t="s">
        <v>61</v>
      </c>
      <c r="B60" s="56">
        <v>63</v>
      </c>
    </row>
    <row r="61" spans="1:5" ht="15.75" x14ac:dyDescent="0.25">
      <c r="A61" s="56" t="s">
        <v>61</v>
      </c>
      <c r="B61" s="56">
        <v>90</v>
      </c>
    </row>
    <row r="62" spans="1:5" ht="15.75" x14ac:dyDescent="0.25">
      <c r="A62" s="56" t="s">
        <v>61</v>
      </c>
      <c r="B62" s="56">
        <v>100</v>
      </c>
    </row>
    <row r="63" spans="1:5" ht="15.75" x14ac:dyDescent="0.25">
      <c r="A63" s="56" t="s">
        <v>61</v>
      </c>
      <c r="B63" s="57">
        <v>120</v>
      </c>
    </row>
    <row r="64" spans="1:5" ht="15.75" x14ac:dyDescent="0.25">
      <c r="A64" s="56" t="s">
        <v>61</v>
      </c>
      <c r="B64" s="57">
        <v>125</v>
      </c>
    </row>
    <row r="65" spans="1:2" ht="15.75" x14ac:dyDescent="0.25">
      <c r="A65" s="56" t="s">
        <v>61</v>
      </c>
      <c r="B65" s="57">
        <v>150</v>
      </c>
    </row>
    <row r="66" spans="1:2" ht="15.75" x14ac:dyDescent="0.25">
      <c r="A66" s="56" t="s">
        <v>61</v>
      </c>
      <c r="B66" s="57">
        <v>200</v>
      </c>
    </row>
    <row r="67" spans="1:2" ht="15.75" x14ac:dyDescent="0.25">
      <c r="A67" s="22" t="s">
        <v>62</v>
      </c>
      <c r="B67" s="22">
        <v>60</v>
      </c>
    </row>
    <row r="68" spans="1:2" ht="15.75" x14ac:dyDescent="0.25">
      <c r="A68" s="22" t="s">
        <v>62</v>
      </c>
      <c r="B68" s="22">
        <v>63</v>
      </c>
    </row>
    <row r="69" spans="1:2" ht="15.75" x14ac:dyDescent="0.25">
      <c r="A69" s="22" t="s">
        <v>62</v>
      </c>
      <c r="B69" s="22">
        <v>70</v>
      </c>
    </row>
    <row r="70" spans="1:2" ht="15.75" x14ac:dyDescent="0.25">
      <c r="A70" s="22" t="s">
        <v>62</v>
      </c>
      <c r="B70" s="22">
        <v>80</v>
      </c>
    </row>
    <row r="71" spans="1:2" ht="15.75" x14ac:dyDescent="0.25">
      <c r="A71" s="22" t="s">
        <v>62</v>
      </c>
      <c r="B71" s="22">
        <v>100</v>
      </c>
    </row>
    <row r="72" spans="1:2" ht="15.75" x14ac:dyDescent="0.25">
      <c r="A72" s="22" t="s">
        <v>62</v>
      </c>
      <c r="B72" s="22">
        <v>120</v>
      </c>
    </row>
    <row r="73" spans="1:2" ht="15.75" x14ac:dyDescent="0.25">
      <c r="A73" s="22" t="s">
        <v>62</v>
      </c>
      <c r="B73" s="22">
        <v>125</v>
      </c>
    </row>
    <row r="74" spans="1:2" ht="15.75" x14ac:dyDescent="0.25">
      <c r="A74" s="22" t="s">
        <v>62</v>
      </c>
      <c r="B74" s="22">
        <v>150</v>
      </c>
    </row>
    <row r="75" spans="1:2" ht="15.75" x14ac:dyDescent="0.25">
      <c r="A75" s="22" t="s">
        <v>62</v>
      </c>
      <c r="B75" s="22">
        <v>175</v>
      </c>
    </row>
    <row r="76" spans="1:2" ht="15.75" x14ac:dyDescent="0.25">
      <c r="A76" s="22" t="s">
        <v>62</v>
      </c>
      <c r="B76" s="22">
        <v>200</v>
      </c>
    </row>
    <row r="77" spans="1:2" ht="15.75" x14ac:dyDescent="0.25">
      <c r="A77" s="22" t="s">
        <v>62</v>
      </c>
      <c r="B77" s="22">
        <v>225</v>
      </c>
    </row>
    <row r="78" spans="1:2" ht="15.75" x14ac:dyDescent="0.25">
      <c r="A78" s="22" t="s">
        <v>62</v>
      </c>
      <c r="B78" s="22">
        <v>250</v>
      </c>
    </row>
    <row r="79" spans="1:2" ht="15.75" x14ac:dyDescent="0.25">
      <c r="A79" s="22" t="s">
        <v>62</v>
      </c>
      <c r="B79" s="22">
        <v>300</v>
      </c>
    </row>
    <row r="80" spans="1:2" ht="15.75" x14ac:dyDescent="0.25">
      <c r="A80" s="22" t="s">
        <v>62</v>
      </c>
      <c r="B80" s="22">
        <v>315</v>
      </c>
    </row>
    <row r="81" spans="1:2" ht="15.75" x14ac:dyDescent="0.25">
      <c r="A81" s="22" t="s">
        <v>62</v>
      </c>
      <c r="B81" s="22">
        <v>320</v>
      </c>
    </row>
    <row r="82" spans="1:2" ht="15.75" x14ac:dyDescent="0.25">
      <c r="A82" s="22" t="s">
        <v>62</v>
      </c>
      <c r="B82" s="22">
        <v>400</v>
      </c>
    </row>
    <row r="83" spans="1:2" ht="15.75" x14ac:dyDescent="0.25">
      <c r="A83" s="22" t="s">
        <v>62</v>
      </c>
      <c r="B83" s="22">
        <v>450</v>
      </c>
    </row>
    <row r="84" spans="1:2" ht="15.75" x14ac:dyDescent="0.25">
      <c r="A84" s="22" t="s">
        <v>62</v>
      </c>
      <c r="B84" s="22">
        <v>500</v>
      </c>
    </row>
    <row r="85" spans="1:2" ht="15.75" x14ac:dyDescent="0.25">
      <c r="A85" s="22" t="s">
        <v>62</v>
      </c>
      <c r="B85" s="22">
        <v>600</v>
      </c>
    </row>
    <row r="86" spans="1:2" ht="15.75" x14ac:dyDescent="0.25">
      <c r="A86" s="22" t="s">
        <v>62</v>
      </c>
      <c r="B86" s="22">
        <v>630</v>
      </c>
    </row>
    <row r="87" spans="1:2" ht="15.75" x14ac:dyDescent="0.25">
      <c r="A87" s="22" t="s">
        <v>62</v>
      </c>
      <c r="B87" s="22">
        <v>700</v>
      </c>
    </row>
    <row r="88" spans="1:2" ht="15.75" x14ac:dyDescent="0.25">
      <c r="A88" s="22" t="s">
        <v>62</v>
      </c>
      <c r="B88" s="22">
        <v>800</v>
      </c>
    </row>
    <row r="89" spans="1:2" ht="15.75" x14ac:dyDescent="0.25">
      <c r="A89" s="22" t="s">
        <v>62</v>
      </c>
      <c r="B89" s="22">
        <v>1000</v>
      </c>
    </row>
    <row r="90" spans="1:2" ht="15.75" x14ac:dyDescent="0.25">
      <c r="A90" s="22" t="s">
        <v>62</v>
      </c>
      <c r="B90" s="22">
        <v>1200</v>
      </c>
    </row>
    <row r="91" spans="1:2" ht="15.75" x14ac:dyDescent="0.25">
      <c r="A91" s="22" t="s">
        <v>62</v>
      </c>
      <c r="B91" s="22">
        <v>1500</v>
      </c>
    </row>
    <row r="92" spans="1:2" ht="15.75" x14ac:dyDescent="0.25">
      <c r="A92" s="22" t="s">
        <v>62</v>
      </c>
      <c r="B92" s="22">
        <v>1800</v>
      </c>
    </row>
    <row r="93" spans="1:2" ht="15.75" x14ac:dyDescent="0.25">
      <c r="A93" s="22" t="s">
        <v>62</v>
      </c>
      <c r="B93" s="22">
        <v>2100</v>
      </c>
    </row>
  </sheetData>
  <sheetProtection algorithmName="SHA-512" hashValue="2GyQz4waU2Xn+SC3srl3Pwz7BFxoSZsb8Zjqw6sysmy4g7+Jm0bUuyQ0C8x90qEbkG+ysCN7opZA6KaYFzfcYA==" saltValue="hMCmy49DZlBn1BU9wO51sg==" spinCount="100000" sheet="1" objects="1" scenarios="1"/>
  <mergeCells count="4">
    <mergeCell ref="A10:B10"/>
    <mergeCell ref="C10:C11"/>
    <mergeCell ref="A56:B56"/>
    <mergeCell ref="A57:B57"/>
  </mergeCells>
  <pageMargins left="0.511811024" right="0.511811024" top="0.78740157499999996" bottom="0.78740157499999996" header="0.31496062000000002" footer="0.31496062000000002"/>
  <headerFooter>
    <oddFooter>&amp;R_x000D_&amp;1#&amp;"Calibri"&amp;10&amp;K000000 Classificação: Público</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DA7DF-57A8-442F-8984-D02A4E3D7DB0}">
  <sheetPr codeName="Planilha2"/>
  <dimension ref="A2:AG61"/>
  <sheetViews>
    <sheetView topLeftCell="U1" workbookViewId="0">
      <selection activeCell="AG14" sqref="AG14"/>
    </sheetView>
  </sheetViews>
  <sheetFormatPr defaultRowHeight="15" x14ac:dyDescent="0.25"/>
  <cols>
    <col min="2" max="2" width="87.42578125" bestFit="1" customWidth="1"/>
    <col min="3" max="3" width="13.28515625" bestFit="1" customWidth="1"/>
    <col min="6" max="6" width="15.28515625" customWidth="1"/>
    <col min="8" max="8" width="14.140625" bestFit="1" customWidth="1"/>
    <col min="9" max="9" width="15.28515625" bestFit="1" customWidth="1"/>
    <col min="10" max="10" width="15.5703125" bestFit="1" customWidth="1"/>
    <col min="11" max="11" width="17" bestFit="1" customWidth="1"/>
    <col min="12" max="12" width="17.42578125" bestFit="1" customWidth="1"/>
    <col min="15" max="15" width="9.140625" style="17"/>
    <col min="16" max="16" width="22.5703125" style="17" bestFit="1" customWidth="1"/>
    <col min="17" max="17" width="7" style="17" customWidth="1"/>
    <col min="18" max="18" width="12.85546875" style="17" customWidth="1"/>
    <col min="20" max="20" width="24.140625" bestFit="1" customWidth="1"/>
    <col min="24" max="24" width="13.7109375" bestFit="1" customWidth="1"/>
    <col min="25" max="25" width="22.140625" bestFit="1" customWidth="1"/>
    <col min="26" max="27" width="18.7109375" bestFit="1" customWidth="1"/>
    <col min="29" max="29" width="11.5703125" customWidth="1"/>
  </cols>
  <sheetData>
    <row r="2" spans="2:33" x14ac:dyDescent="0.25">
      <c r="V2" t="s">
        <v>209</v>
      </c>
    </row>
    <row r="3" spans="2:33" x14ac:dyDescent="0.25">
      <c r="B3" s="25" t="s">
        <v>71</v>
      </c>
      <c r="D3" t="s">
        <v>79</v>
      </c>
      <c r="H3" t="s">
        <v>29</v>
      </c>
      <c r="I3" t="s">
        <v>30</v>
      </c>
      <c r="J3" t="s">
        <v>31</v>
      </c>
      <c r="K3" t="s">
        <v>32</v>
      </c>
      <c r="L3" t="s">
        <v>33</v>
      </c>
      <c r="O3" s="17" t="s">
        <v>134</v>
      </c>
      <c r="P3" s="17" t="s">
        <v>135</v>
      </c>
      <c r="R3" s="17" t="s">
        <v>140</v>
      </c>
      <c r="T3" t="s">
        <v>139</v>
      </c>
      <c r="V3">
        <f>IF(TipoSE="Nº 1",1,0)</f>
        <v>0</v>
      </c>
    </row>
    <row r="4" spans="2:33" x14ac:dyDescent="0.25">
      <c r="B4" t="s">
        <v>219</v>
      </c>
      <c r="C4" t="b">
        <f>B4=Formulário!$I$46</f>
        <v>0</v>
      </c>
      <c r="D4">
        <f>IF(Formulário!$I$46=Dados!B4,1,0)</f>
        <v>0</v>
      </c>
      <c r="H4">
        <v>22</v>
      </c>
      <c r="I4">
        <v>487307</v>
      </c>
      <c r="J4">
        <v>833012</v>
      </c>
      <c r="K4">
        <v>7733378</v>
      </c>
      <c r="L4">
        <v>7981566</v>
      </c>
      <c r="O4" s="17" t="s">
        <v>136</v>
      </c>
      <c r="P4" s="17">
        <v>75</v>
      </c>
      <c r="R4" s="17">
        <v>1</v>
      </c>
      <c r="T4" s="17">
        <v>100</v>
      </c>
      <c r="Y4" t="s">
        <v>215</v>
      </c>
    </row>
    <row r="5" spans="2:33" x14ac:dyDescent="0.25">
      <c r="B5" t="s">
        <v>220</v>
      </c>
      <c r="C5" t="b">
        <f>B5=Formulário!$I$46</f>
        <v>0</v>
      </c>
      <c r="D5">
        <f>IF(Formulário!$I$46=Dados!B5,2,0)</f>
        <v>0</v>
      </c>
      <c r="H5">
        <v>23</v>
      </c>
      <c r="I5">
        <v>161564</v>
      </c>
      <c r="J5">
        <v>840139</v>
      </c>
      <c r="K5">
        <v>7460145</v>
      </c>
      <c r="L5">
        <v>8435094</v>
      </c>
      <c r="O5" s="17" t="s">
        <v>136</v>
      </c>
      <c r="P5" s="17">
        <v>112.5</v>
      </c>
      <c r="R5" s="17">
        <v>2</v>
      </c>
      <c r="T5" s="17">
        <v>200</v>
      </c>
      <c r="V5" t="s">
        <v>133</v>
      </c>
      <c r="Y5" s="25" t="s">
        <v>216</v>
      </c>
    </row>
    <row r="6" spans="2:33" x14ac:dyDescent="0.25">
      <c r="B6" t="s">
        <v>218</v>
      </c>
      <c r="C6" t="b">
        <f>B6=Formulário!$I$46</f>
        <v>0</v>
      </c>
      <c r="D6">
        <f>IF(Formulário!$I$46=Dados!B6,3,0)</f>
        <v>0</v>
      </c>
      <c r="H6">
        <v>24</v>
      </c>
      <c r="I6">
        <v>164869</v>
      </c>
      <c r="J6">
        <v>417150</v>
      </c>
      <c r="K6">
        <v>7673180</v>
      </c>
      <c r="L6">
        <v>8336360</v>
      </c>
      <c r="O6" s="17" t="s">
        <v>136</v>
      </c>
      <c r="P6" s="17">
        <v>150</v>
      </c>
      <c r="R6" s="17">
        <v>3</v>
      </c>
      <c r="T6" s="17">
        <v>300</v>
      </c>
      <c r="V6" t="s">
        <v>210</v>
      </c>
      <c r="Y6" s="25" t="s">
        <v>217</v>
      </c>
    </row>
    <row r="7" spans="2:33" x14ac:dyDescent="0.25">
      <c r="B7" t="str">
        <f>IF(AND(Formulário!O33="Nº 2",Formulário!L41=Dados!B20),"","Ligação de Nova Unidade Consumidora COM Geração Distribuída")</f>
        <v>Ligação de Nova Unidade Consumidora COM Geração Distribuída</v>
      </c>
      <c r="C7" t="b">
        <f>B7=Formulário!$I$46</f>
        <v>0</v>
      </c>
      <c r="D7">
        <f>IF(Formulário!$I$46=Dados!B7,4,0)</f>
        <v>0</v>
      </c>
      <c r="O7" s="17" t="s">
        <v>136</v>
      </c>
      <c r="P7" s="17">
        <v>225</v>
      </c>
      <c r="R7" s="17">
        <v>4</v>
      </c>
      <c r="T7" s="17">
        <v>500</v>
      </c>
    </row>
    <row r="8" spans="2:33" x14ac:dyDescent="0.25">
      <c r="O8" s="17" t="s">
        <v>136</v>
      </c>
      <c r="P8" s="17">
        <v>300</v>
      </c>
      <c r="T8" s="17">
        <v>700</v>
      </c>
      <c r="Y8" t="s">
        <v>215</v>
      </c>
    </row>
    <row r="9" spans="2:33" x14ac:dyDescent="0.25">
      <c r="H9" t="s">
        <v>132</v>
      </c>
      <c r="I9" t="s">
        <v>128</v>
      </c>
      <c r="J9" t="s">
        <v>129</v>
      </c>
      <c r="K9" t="s">
        <v>130</v>
      </c>
      <c r="L9" t="s">
        <v>131</v>
      </c>
      <c r="O9" s="17" t="s">
        <v>137</v>
      </c>
      <c r="P9" s="17">
        <v>75</v>
      </c>
      <c r="Y9" t="str">
        <f>IF(OR(TipoSE="Nº 1",TipoSE="Nº 5",TipoSE="Nº 8",TipoSE="Nº 4",AND(TipoSE="Nº 2",Formulário!L41=22000),AND(TipoSE="Nº 2",Formulário!L41=34500)),Y5,"")</f>
        <v/>
      </c>
    </row>
    <row r="10" spans="2:33" x14ac:dyDescent="0.25">
      <c r="H10">
        <f>Formulário!V27</f>
        <v>0</v>
      </c>
      <c r="I10" t="e">
        <f>VLOOKUP($H$10,$H$4:$L$6,COLUMN()-7,FALSE)</f>
        <v>#N/A</v>
      </c>
      <c r="J10" t="e">
        <f t="shared" ref="J10:L10" si="0">VLOOKUP($H$10,$H$4:$L$6,COLUMN()-7,FALSE)</f>
        <v>#N/A</v>
      </c>
      <c r="K10" t="e">
        <f t="shared" si="0"/>
        <v>#N/A</v>
      </c>
      <c r="L10" t="e">
        <f t="shared" si="0"/>
        <v>#N/A</v>
      </c>
      <c r="O10" s="17" t="s">
        <v>137</v>
      </c>
      <c r="P10" s="17">
        <v>112.5</v>
      </c>
      <c r="Y10" t="str">
        <f>IF(OR(TipoSE="Nº 2",TipoSE="Nº 4"),Y6,"")</f>
        <v/>
      </c>
    </row>
    <row r="11" spans="2:33" x14ac:dyDescent="0.25">
      <c r="O11" s="17" t="s">
        <v>137</v>
      </c>
      <c r="P11" s="17">
        <v>150</v>
      </c>
      <c r="AC11" s="232" t="s">
        <v>549</v>
      </c>
      <c r="AD11" s="232"/>
    </row>
    <row r="12" spans="2:33" x14ac:dyDescent="0.25">
      <c r="B12" t="s">
        <v>215</v>
      </c>
      <c r="D12" t="s">
        <v>80</v>
      </c>
      <c r="O12" s="17" t="s">
        <v>137</v>
      </c>
      <c r="P12" s="17">
        <v>225</v>
      </c>
      <c r="X12" t="s">
        <v>494</v>
      </c>
      <c r="Y12" s="17">
        <v>13800</v>
      </c>
      <c r="Z12" s="17">
        <v>22000</v>
      </c>
      <c r="AA12" s="17">
        <v>34500</v>
      </c>
      <c r="AC12" t="s">
        <v>550</v>
      </c>
      <c r="AD12" t="s">
        <v>551</v>
      </c>
      <c r="AF12" t="s">
        <v>550</v>
      </c>
      <c r="AG12" t="s">
        <v>551</v>
      </c>
    </row>
    <row r="13" spans="2:33" x14ac:dyDescent="0.25">
      <c r="B13" s="25" t="s">
        <v>216</v>
      </c>
      <c r="D13">
        <f>IF(Formulário!$I$43=Dados!B13,1,0)</f>
        <v>0</v>
      </c>
      <c r="O13" s="17" t="s">
        <v>137</v>
      </c>
      <c r="P13" s="17">
        <v>300</v>
      </c>
      <c r="X13" t="s">
        <v>495</v>
      </c>
      <c r="Y13" s="25" t="s">
        <v>216</v>
      </c>
      <c r="Z13" s="25" t="s">
        <v>216</v>
      </c>
      <c r="AA13" s="25" t="s">
        <v>216</v>
      </c>
      <c r="AC13">
        <v>30</v>
      </c>
      <c r="AD13">
        <v>300</v>
      </c>
      <c r="AF13">
        <v>30</v>
      </c>
      <c r="AG13">
        <f>IF(OR(Formulário!O33="Nº 1",Formulário!O33="Nº 5",Formulário!O33="Nº 8"),300,10000)</f>
        <v>10000</v>
      </c>
    </row>
    <row r="14" spans="2:33" x14ac:dyDescent="0.25">
      <c r="B14" s="25" t="s">
        <v>217</v>
      </c>
      <c r="D14">
        <f>IF(Formulário!$I$43=Dados!B14,1,0)</f>
        <v>0</v>
      </c>
      <c r="O14" s="17" t="s">
        <v>138</v>
      </c>
      <c r="P14" s="17">
        <v>75</v>
      </c>
      <c r="X14" t="s">
        <v>496</v>
      </c>
      <c r="Y14" s="25" t="s">
        <v>217</v>
      </c>
      <c r="Z14" t="s">
        <v>500</v>
      </c>
      <c r="AA14" t="s">
        <v>500</v>
      </c>
      <c r="AC14">
        <v>30</v>
      </c>
      <c r="AD14">
        <v>10000</v>
      </c>
    </row>
    <row r="15" spans="2:33" x14ac:dyDescent="0.25">
      <c r="B15" s="25"/>
      <c r="O15" s="17" t="s">
        <v>138</v>
      </c>
      <c r="P15" s="17">
        <v>112.5</v>
      </c>
      <c r="X15" t="s">
        <v>497</v>
      </c>
      <c r="Y15" t="s">
        <v>500</v>
      </c>
      <c r="Z15" t="s">
        <v>500</v>
      </c>
      <c r="AA15" t="s">
        <v>500</v>
      </c>
      <c r="AC15">
        <v>30</v>
      </c>
      <c r="AD15">
        <v>10000</v>
      </c>
    </row>
    <row r="16" spans="2:33" x14ac:dyDescent="0.25">
      <c r="B16" s="25"/>
      <c r="O16" s="17" t="s">
        <v>138</v>
      </c>
      <c r="P16" s="17">
        <v>150</v>
      </c>
      <c r="X16" t="s">
        <v>498</v>
      </c>
      <c r="Y16" s="25" t="s">
        <v>216</v>
      </c>
      <c r="Z16" s="25" t="s">
        <v>216</v>
      </c>
      <c r="AA16" s="25" t="s">
        <v>216</v>
      </c>
      <c r="AC16">
        <v>30</v>
      </c>
      <c r="AD16">
        <v>300</v>
      </c>
    </row>
    <row r="17" spans="2:30" x14ac:dyDescent="0.25">
      <c r="O17" s="17" t="s">
        <v>138</v>
      </c>
      <c r="P17" s="17">
        <v>225</v>
      </c>
      <c r="X17" t="s">
        <v>499</v>
      </c>
      <c r="Y17" s="25" t="s">
        <v>216</v>
      </c>
      <c r="Z17" s="25" t="s">
        <v>216</v>
      </c>
      <c r="AA17" s="25" t="s">
        <v>216</v>
      </c>
      <c r="AC17">
        <v>30</v>
      </c>
      <c r="AD17">
        <v>300</v>
      </c>
    </row>
    <row r="18" spans="2:30" x14ac:dyDescent="0.25">
      <c r="C18" s="17" t="str">
        <f>Grupo</f>
        <v>A</v>
      </c>
      <c r="I18" t="str" cm="1">
        <f t="array" ref="I18">IF(OR(TipoSE="Nº 1",TipoSE="Nº 5",TipoSE="Nº 8"),Dados!$P$4:$P$8,"---")</f>
        <v>---</v>
      </c>
      <c r="O18" s="17" t="s">
        <v>138</v>
      </c>
      <c r="P18" s="17">
        <v>300</v>
      </c>
    </row>
    <row r="19" spans="2:30" x14ac:dyDescent="0.25">
      <c r="B19" s="17" t="s">
        <v>72</v>
      </c>
      <c r="C19" s="17" t="s">
        <v>76</v>
      </c>
      <c r="Y19" t="str" cm="1">
        <f t="array" ref="Y19:Y20">IF(OR(TipoSE="Nº 1",TipoSE="Nº 5",TipoSE="Nº 8"),Y5,IF(AND(TipoSE="Nº 2",Formulário!L41=13800,Formulário!I46=Dados!B7),Y6,Y5:Y6))</f>
        <v xml:space="preserve">Subestação Individual </v>
      </c>
    </row>
    <row r="20" spans="2:30" x14ac:dyDescent="0.25">
      <c r="B20" s="17">
        <v>13800</v>
      </c>
      <c r="C20" s="17">
        <f>B20</f>
        <v>13800</v>
      </c>
      <c r="Y20" t="str">
        <v xml:space="preserve">Subestação Compartilhada </v>
      </c>
    </row>
    <row r="21" spans="2:30" x14ac:dyDescent="0.25">
      <c r="B21" s="17">
        <v>22000</v>
      </c>
      <c r="C21" s="17">
        <f>B21</f>
        <v>22000</v>
      </c>
      <c r="D21" s="17"/>
    </row>
    <row r="22" spans="2:30" x14ac:dyDescent="0.25">
      <c r="B22" s="17">
        <v>34500</v>
      </c>
      <c r="C22" s="17">
        <f>B22</f>
        <v>34500</v>
      </c>
      <c r="D22" s="17"/>
      <c r="V22" t="s">
        <v>526</v>
      </c>
    </row>
    <row r="23" spans="2:30" x14ac:dyDescent="0.25">
      <c r="C23" s="17"/>
      <c r="V23" t="s">
        <v>527</v>
      </c>
    </row>
    <row r="24" spans="2:30" x14ac:dyDescent="0.25">
      <c r="C24" s="17"/>
    </row>
    <row r="25" spans="2:30" x14ac:dyDescent="0.25">
      <c r="B25" s="17" t="s">
        <v>73</v>
      </c>
      <c r="C25" s="17"/>
      <c r="V25" t="s">
        <v>530</v>
      </c>
    </row>
    <row r="26" spans="2:30" x14ac:dyDescent="0.25">
      <c r="B26" s="17" t="s">
        <v>74</v>
      </c>
      <c r="C26" s="17"/>
      <c r="V26" t="s">
        <v>531</v>
      </c>
    </row>
    <row r="27" spans="2:30" x14ac:dyDescent="0.25">
      <c r="B27" s="17" t="s">
        <v>75</v>
      </c>
    </row>
    <row r="28" spans="2:30" x14ac:dyDescent="0.25">
      <c r="B28" s="17"/>
      <c r="C28" t="e">
        <f>IF(OR(Formulário!#REF!&gt;=300,Formulário!#REF!&gt;=300),"1Tipo","2Tipos")</f>
        <v>#REF!</v>
      </c>
      <c r="V28" t="s">
        <v>532</v>
      </c>
    </row>
    <row r="29" spans="2:30" x14ac:dyDescent="0.25">
      <c r="B29" s="17" t="s">
        <v>60</v>
      </c>
      <c r="C29" t="s">
        <v>78</v>
      </c>
    </row>
    <row r="30" spans="2:30" x14ac:dyDescent="0.25">
      <c r="B30" s="17" t="s">
        <v>63</v>
      </c>
      <c r="C30" t="e">
        <f>IF($C$28="2Tipos",B30,B31)</f>
        <v>#REF!</v>
      </c>
      <c r="V30" t="s">
        <v>481</v>
      </c>
    </row>
    <row r="31" spans="2:30" x14ac:dyDescent="0.25">
      <c r="B31" s="17" t="s">
        <v>77</v>
      </c>
      <c r="C31" t="e">
        <f>IF($C$28="2Tipos",B31,B32)</f>
        <v>#REF!</v>
      </c>
    </row>
    <row r="33" spans="2:2" x14ac:dyDescent="0.25">
      <c r="B33" s="17" t="s">
        <v>236</v>
      </c>
    </row>
    <row r="34" spans="2:2" x14ac:dyDescent="0.25">
      <c r="B34" s="67" t="s">
        <v>237</v>
      </c>
    </row>
    <row r="35" spans="2:2" x14ac:dyDescent="0.25">
      <c r="B35" s="67" t="s">
        <v>238</v>
      </c>
    </row>
    <row r="36" spans="2:2" x14ac:dyDescent="0.25">
      <c r="B36" s="67" t="s">
        <v>239</v>
      </c>
    </row>
    <row r="37" spans="2:2" x14ac:dyDescent="0.25">
      <c r="B37" s="67" t="s">
        <v>240</v>
      </c>
    </row>
    <row r="39" spans="2:2" x14ac:dyDescent="0.25">
      <c r="B39" s="67" t="s">
        <v>472</v>
      </c>
    </row>
    <row r="40" spans="2:2" x14ac:dyDescent="0.25">
      <c r="B40" t="s">
        <v>529</v>
      </c>
    </row>
    <row r="41" spans="2:2" x14ac:dyDescent="0.25">
      <c r="B41" t="s">
        <v>257</v>
      </c>
    </row>
    <row r="42" spans="2:2" x14ac:dyDescent="0.25">
      <c r="B42" t="s">
        <v>258</v>
      </c>
    </row>
    <row r="43" spans="2:2" x14ac:dyDescent="0.25">
      <c r="B43" t="s">
        <v>259</v>
      </c>
    </row>
    <row r="45" spans="2:2" x14ac:dyDescent="0.25">
      <c r="B45" s="17" t="s">
        <v>401</v>
      </c>
    </row>
    <row r="46" spans="2:2" x14ac:dyDescent="0.25">
      <c r="B46">
        <v>1</v>
      </c>
    </row>
    <row r="47" spans="2:2" x14ac:dyDescent="0.25">
      <c r="B47">
        <v>2</v>
      </c>
    </row>
    <row r="51" spans="1:2" x14ac:dyDescent="0.25">
      <c r="B51" t="b">
        <f>NOT(OR(TipoFonte="Hidráulica",TipoFonte2="Hidráulica"))</f>
        <v>1</v>
      </c>
    </row>
    <row r="53" spans="1:2" x14ac:dyDescent="0.25">
      <c r="B53" s="17" t="s">
        <v>473</v>
      </c>
    </row>
    <row r="54" spans="1:2" x14ac:dyDescent="0.25">
      <c r="B54" t="s">
        <v>474</v>
      </c>
    </row>
    <row r="55" spans="1:2" x14ac:dyDescent="0.25">
      <c r="B55" t="s">
        <v>475</v>
      </c>
    </row>
    <row r="56" spans="1:2" x14ac:dyDescent="0.25">
      <c r="B56" s="50" t="s">
        <v>476</v>
      </c>
    </row>
    <row r="57" spans="1:2" x14ac:dyDescent="0.25">
      <c r="B57" t="s">
        <v>477</v>
      </c>
    </row>
    <row r="59" spans="1:2" x14ac:dyDescent="0.25">
      <c r="B59" t="s">
        <v>541</v>
      </c>
    </row>
    <row r="60" spans="1:2" x14ac:dyDescent="0.25">
      <c r="A60" t="s">
        <v>210</v>
      </c>
      <c r="B60" t="s">
        <v>542</v>
      </c>
    </row>
    <row r="61" spans="1:2" x14ac:dyDescent="0.25">
      <c r="A61" t="s">
        <v>133</v>
      </c>
      <c r="B61" t="s">
        <v>543</v>
      </c>
    </row>
  </sheetData>
  <sheetProtection algorithmName="SHA-512" hashValue="e7JhgCV/2BwW8YWlvuHki/ajT+9XrRtc0Cw4nqt2bp/j8/54Bbb5TZFVXqig4mcVvnmVo/ic5jq2q+axsmOlRQ==" saltValue="H9MYVavY53c6lgyfJgQLcQ==" spinCount="100000" sheet="1" objects="1" scenarios="1"/>
  <sortState xmlns:xlrd2="http://schemas.microsoft.com/office/spreadsheetml/2017/richdata2" ref="B4:B7">
    <sortCondition ref="B4:B7"/>
  </sortState>
  <mergeCells count="1">
    <mergeCell ref="AC11:AD11"/>
  </mergeCells>
  <phoneticPr fontId="15" type="noConversion"/>
  <pageMargins left="0.511811024" right="0.511811024" top="0.78740157499999996" bottom="0.78740157499999996" header="0.31496062000000002" footer="0.31496062000000002"/>
  <pageSetup paperSize="9" orientation="portrait" r:id="rId1"/>
  <headerFooter>
    <oddFooter>&amp;R_x000D_&amp;1#&amp;"Calibri"&amp;10&amp;K000000 Classificação: Público</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4"/>
  <dimension ref="A1:J54"/>
  <sheetViews>
    <sheetView workbookViewId="0">
      <selection activeCell="B13" sqref="B13"/>
    </sheetView>
  </sheetViews>
  <sheetFormatPr defaultRowHeight="15" x14ac:dyDescent="0.25"/>
  <cols>
    <col min="1" max="1" width="88" customWidth="1"/>
    <col min="2" max="2" width="9.140625" style="17"/>
    <col min="3" max="3" width="17.85546875" customWidth="1"/>
    <col min="4" max="4" width="18.7109375" customWidth="1"/>
  </cols>
  <sheetData>
    <row r="1" spans="1:5" x14ac:dyDescent="0.25">
      <c r="A1" t="s">
        <v>46</v>
      </c>
      <c r="B1" s="41">
        <f>IF(Dados!D7=4,1,COUNTA(Formulário!J12))</f>
        <v>0</v>
      </c>
      <c r="D1" s="53" t="str">
        <f>IF(D4=1,E4,IF(D5=1,E5,IF(D6=1,E6,IF(D7=1,E7,IF(D8=1,E8,IF(D9=1,E9,IF(D10=1,E10,"")))))))</f>
        <v>O campo "Número da Instalação" deve ser preenchido.</v>
      </c>
    </row>
    <row r="2" spans="1:5" x14ac:dyDescent="0.25">
      <c r="A2" t="s">
        <v>48</v>
      </c>
      <c r="B2" s="41">
        <f>COUNTA(Formulário!N14)</f>
        <v>0</v>
      </c>
    </row>
    <row r="3" spans="1:5" x14ac:dyDescent="0.25">
      <c r="A3" t="s">
        <v>35</v>
      </c>
      <c r="B3" s="41">
        <f>COUNTA(Formulário!E16)</f>
        <v>1</v>
      </c>
    </row>
    <row r="4" spans="1:5" x14ac:dyDescent="0.25">
      <c r="A4" t="s">
        <v>36</v>
      </c>
      <c r="B4" s="41">
        <f>COUNTA(Formulário!K16)</f>
        <v>0</v>
      </c>
      <c r="D4" s="54">
        <f t="shared" ref="D4:D10" si="0">IF(E4&lt;&gt;"",1,0)</f>
        <v>1</v>
      </c>
      <c r="E4" t="str">
        <f>IF(COUNTIF(Conferencia!B:B,"0")&gt;0,"O campo """&amp;INDEX(Conferencia!A:A,MATCH(0,Conferencia!B:B,0))&amp;""" deve ser preenchido.","")</f>
        <v>O campo "Número da Instalação" deve ser preenchido.</v>
      </c>
    </row>
    <row r="5" spans="1:5" x14ac:dyDescent="0.25">
      <c r="A5" t="s">
        <v>37</v>
      </c>
      <c r="B5" s="41">
        <f>COUNTA(Formulário!AC16)</f>
        <v>0</v>
      </c>
      <c r="D5" s="54">
        <f t="shared" si="0"/>
        <v>0</v>
      </c>
      <c r="E5" t="str">
        <f>IF(AND(Dados!D7=4,Formulário!J12&lt;&gt;"")," Em caso de Ligação de Nova Unidade Consumidora não pode ser preenchido o Nº da Instalação","")</f>
        <v/>
      </c>
    </row>
    <row r="6" spans="1:5" x14ac:dyDescent="0.25">
      <c r="A6" t="s">
        <v>38</v>
      </c>
      <c r="B6" s="41">
        <f>COUNTA(Formulário!G18)</f>
        <v>0</v>
      </c>
      <c r="D6" s="54">
        <f t="shared" si="0"/>
        <v>0</v>
      </c>
      <c r="E6" t="str">
        <f>IF(OR(E28=1,E29=1),"A demanda contratada de consumo ou geração não pode ser maior que a soma das potências dos transformadores","")</f>
        <v/>
      </c>
    </row>
    <row r="7" spans="1:5" x14ac:dyDescent="0.25">
      <c r="A7" t="s">
        <v>39</v>
      </c>
      <c r="B7" s="41">
        <f>COUNTA(Formulário!AI18)</f>
        <v>0</v>
      </c>
      <c r="D7" s="54">
        <f t="shared" si="0"/>
        <v>0</v>
      </c>
      <c r="E7" t="str">
        <f>IF(D18=0,"O uso da SE Nº1 foi descontinuado das normas Cemig, portanto NÃO é permitida para ligação de novas UC usando esse padrão de construção","")</f>
        <v/>
      </c>
    </row>
    <row r="8" spans="1:5" x14ac:dyDescent="0.25">
      <c r="A8" t="s">
        <v>41</v>
      </c>
      <c r="B8" s="41">
        <f>COUNTA(Formulário!E20)</f>
        <v>0</v>
      </c>
      <c r="D8" s="54">
        <f t="shared" si="0"/>
        <v>0</v>
      </c>
      <c r="E8" t="str">
        <f>IF(Pot_Ativa_Instalada&lt;=75,"Este formulário é para as solicitações de MINIGERAÇÃO. Para potência menor ou igual a 75 kW utilize o formulário de MICROGERAÇÃO.","")</f>
        <v/>
      </c>
    </row>
    <row r="9" spans="1:5" x14ac:dyDescent="0.25">
      <c r="A9" t="s">
        <v>42</v>
      </c>
      <c r="B9" s="41">
        <f>COUNTA(Formulário!T20)</f>
        <v>0</v>
      </c>
      <c r="D9" s="54">
        <f t="shared" si="0"/>
        <v>0</v>
      </c>
      <c r="E9" t="str">
        <f>IF(D19=1,"O somatório das potências dos transformadores não pode ser menor que a Demanda Máxima de Carga informada.","")</f>
        <v/>
      </c>
    </row>
    <row r="10" spans="1:5" x14ac:dyDescent="0.25">
      <c r="A10" t="s">
        <v>43</v>
      </c>
      <c r="B10" s="41">
        <f>COUNTA(Formulário!AN20)</f>
        <v>1</v>
      </c>
      <c r="D10" s="54">
        <f t="shared" si="0"/>
        <v>0</v>
      </c>
      <c r="E10" t="str">
        <f>IF($D$20=1,"O somatório das potências dos transformadores não pode ser menor que a Potência Ativa Instalada Total de Geração da Usina.","")</f>
        <v/>
      </c>
    </row>
    <row r="11" spans="1:5" x14ac:dyDescent="0.25">
      <c r="A11" t="s">
        <v>44</v>
      </c>
      <c r="B11" s="41">
        <f>COUNTA(Formulário!AS20)</f>
        <v>0</v>
      </c>
    </row>
    <row r="12" spans="1:5" x14ac:dyDescent="0.25">
      <c r="A12" t="s">
        <v>242</v>
      </c>
      <c r="B12" s="41">
        <f>COUNTA(Formulário!O22)</f>
        <v>0</v>
      </c>
    </row>
    <row r="13" spans="1:5" x14ac:dyDescent="0.25">
      <c r="A13" t="s">
        <v>45</v>
      </c>
      <c r="B13" s="41">
        <f>COUNTA(Formulário!Y22)</f>
        <v>0</v>
      </c>
    </row>
    <row r="14" spans="1:5" x14ac:dyDescent="0.25">
      <c r="A14" t="s">
        <v>29</v>
      </c>
      <c r="B14" s="41">
        <f>COUNTA(Formulário!V27)</f>
        <v>0</v>
      </c>
    </row>
    <row r="15" spans="1:5" x14ac:dyDescent="0.25">
      <c r="A15" t="s">
        <v>49</v>
      </c>
      <c r="B15" s="41">
        <f>COUNTA(Formulário!AC27)</f>
        <v>0</v>
      </c>
    </row>
    <row r="16" spans="1:5" x14ac:dyDescent="0.25">
      <c r="A16" t="s">
        <v>50</v>
      </c>
      <c r="B16" s="41">
        <f>COUNTA(Formulário!AL27)</f>
        <v>0</v>
      </c>
    </row>
    <row r="17" spans="1:10" x14ac:dyDescent="0.25">
      <c r="A17" t="s">
        <v>59</v>
      </c>
      <c r="B17" s="41">
        <f>IF(Formulário!E16&lt;&gt;"A",1,COUNTA(Formulário!O33))</f>
        <v>0</v>
      </c>
    </row>
    <row r="18" spans="1:10" x14ac:dyDescent="0.25">
      <c r="A18" s="9" t="str">
        <f>IF(D21=1,"Qte de potência distinta dos trafos","Transformador particular (kVA)")</f>
        <v>Transformador particular (kVA)</v>
      </c>
      <c r="B18" s="41">
        <f>IF(AND($D$22=1,Formulário!$N$35&lt;=4),0,IF(AND($D$21=1,Formulário!$N$35&gt;4),0,COUNTA(Formulário!$N$35)))</f>
        <v>0</v>
      </c>
      <c r="D18" s="41">
        <f>IF(AND(Dados!D7=4,TipoSE="Nº 1"),0,1)</f>
        <v>1</v>
      </c>
      <c r="E18" t="s">
        <v>205</v>
      </c>
    </row>
    <row r="19" spans="1:10" x14ac:dyDescent="0.25">
      <c r="A19" t="s">
        <v>231</v>
      </c>
      <c r="B19" s="41">
        <f>IF(OR(TipoSE="Nº 1",TipoSE="Nº 5",TipoSE="Nº 8"),1,IF(AND($D$21=1,Formulário!$N$35=1,OR(Formulário!V35="",Formulário!AB35="")),0,COUNTA(Formulário!$N$35)*COUNTA(Formulário!$V35)*COUNTA(Formulário!$AB$35)))</f>
        <v>0</v>
      </c>
      <c r="D19" s="41"/>
      <c r="E19" t="s">
        <v>212</v>
      </c>
      <c r="J19" t="s">
        <v>405</v>
      </c>
    </row>
    <row r="20" spans="1:10" x14ac:dyDescent="0.25">
      <c r="A20" t="s">
        <v>231</v>
      </c>
      <c r="B20" s="41">
        <f>IF(OR(TipoSE="Nº 1",TipoSE="Nº 5",TipoSE="Nº 8"),1,IF(AND($D$21=1,Formulário!$N$35=1),1,IF(OR(Formulário!$V$35="",Formulário!$AB$35="",Formulário!$V$33="",Formulário!$AB$33=""),0,COUNTA(Formulário!$N$35)*COUNTA(Formulário!$V$35)*COUNTA(Formulário!$AB$35)*COUNTA(Formulário!$V$33)*COUNTA(Formulário!$AB$33))))</f>
        <v>0</v>
      </c>
      <c r="D20" s="41">
        <f>IF(IF(OR(TipoSE="Nº 2",TipoSE="Nº 4"),IF(AND(Formulário!$N$35=1,OR(TipoSE="Nº 2",TipoSE="Nº 4")),SUM(Formulário!$V$35*Formulário!$AB$35),IF(AND(Formulário!$N$35=2,OR(TipoSE="Nº 2",TipoSE="Nº 4")),SUM(Formulário!$V$33*Formulário!$AB$33,Formulário!$V$35*Formulário!$AB$35),IF(AND(Formulário!$N$35=3,OR(TipoSE="Nº 2",TipoSE="Nº 4")),SUM(Formulário!$V$33*Formulário!$AB$33,Formulário!$AJ$33*Formulário!$AP$33,Formulário!$V$35*Formulário!$AB$35),IF(AND(Formulário!N$35&gt;=4,OR(TipoSE="Nº 2",TipoSE="Nº 4")),SUM(Formulário!$V$33*Formulário!$AB$33,Formulário!$AJ$33*Formulário!$AP$33,Formulário!$V$35*Formulário!$AB$35,Formulário!$AJ$35*Formulário!$AP$35),0)))),Formulário!N35)&lt;Pot_Ativa_Instalada,1,0)</f>
        <v>0</v>
      </c>
      <c r="E20" t="s">
        <v>245</v>
      </c>
    </row>
    <row r="21" spans="1:10" x14ac:dyDescent="0.25">
      <c r="A21" t="s">
        <v>231</v>
      </c>
      <c r="B21" s="41">
        <f>IF(OR(TipoSE="Nº 1",TipoSE="Nº 5",TipoSE="Nº 8"),1,IF(AND($D$21=1,Formulário!$N$35&lt;3),1,IF(OR(Formulário!$V$35="",Formulário!$AB$35="",Formulário!$V$33="",Formulário!$AB$33="",Formulário!$AJ$33="",Formulário!$AP$33=""),0,COUNTA(Formulário!$N$35)*COUNTA(Formulário!$V$35)*COUNTA(Formulário!$AB$35)*COUNTA(Formulário!$V$33)*COUNTA(Formulário!$AB$33)*COUNTA(Formulário!$AJ$33)*COUNTA(Formulário!$AP$33))))</f>
        <v>0</v>
      </c>
      <c r="D21" s="26">
        <f>IF(OR(TipoSE="Nº 2",TipoSE="Nº 4"),1,0)</f>
        <v>0</v>
      </c>
      <c r="E21" t="s">
        <v>226</v>
      </c>
    </row>
    <row r="22" spans="1:10" x14ac:dyDescent="0.25">
      <c r="A22" t="s">
        <v>231</v>
      </c>
      <c r="B22" s="41">
        <f>IF(OR(TipoSE="Nº 1",TipoSE="Nº 5",TipoSE="Nº 8"),1,IF(AND($D$21=1,Formulário!$N$35&lt;4),1,IF(OR(Formulário!$V$35="",Formulário!$AB$35="",Formulário!$V$33="",Formulário!$AB$33="",Formulário!$AJ$33="",Formulário!$AP$33="",Formulário!$AJ$35="",Formulário!$AP$35=""),0,COUNTA(Formulário!$N$35)*COUNTA(Formulário!$V$35)*COUNTA(Formulário!$AB$35)*COUNTA(Formulário!$V$33)*COUNTA(Formulário!$AB$33)*COUNTA(Formulário!$AJ$33)*COUNTA(Formulário!$AP$33)*COUNTA(Formulário!$AJ$35)*COUNTA(Formulário!$AP$35))))</f>
        <v>0</v>
      </c>
      <c r="D22" s="26">
        <f>IF(OR(TipoSE="Nº 1",TipoSE="Nº 5",TipoSE="Nº 8"),1,0)</f>
        <v>0</v>
      </c>
      <c r="E22" t="s">
        <v>227</v>
      </c>
    </row>
    <row r="23" spans="1:10" x14ac:dyDescent="0.25">
      <c r="A23" t="s">
        <v>213</v>
      </c>
      <c r="B23" s="41">
        <f>COUNTA(Formulário!N37)</f>
        <v>0</v>
      </c>
      <c r="D23" s="26">
        <f>IF(TipoSE="Nº 1",1,0)</f>
        <v>0</v>
      </c>
      <c r="E23" t="s">
        <v>228</v>
      </c>
    </row>
    <row r="24" spans="1:10" x14ac:dyDescent="0.25">
      <c r="A24" t="s">
        <v>232</v>
      </c>
      <c r="B24" s="41">
        <f>COUNTA(Formulário!AJ37)</f>
        <v>0</v>
      </c>
      <c r="D24" s="26">
        <f>IF(AND(Formulário!$N$35=1,OR(TipoSE="Nº 2",TipoSE="Nº 4")),SUM(Formulário!$V$35*Formulário!$AB$35),IF(AND(Formulário!$N$35=2,OR(TipoSE="Nº 2",TipoSE="Nº 4")),SUM(Formulário!$V$33*Formulário!$AB$33,Formulário!$V$35*Formulário!$AB$35),IF(AND(Formulário!$N$35=3,OR(TipoSE="Nº 2",TipoSE="Nº 4")),SUM(Formulário!$V$33*Formulário!$AB$33,Formulário!$AJ$33*Formulário!$AP$33,Formulário!$V$35*Formulário!$AB$35),IF(AND(Formulário!N$35=4,OR(TipoSE="Nº 2",TipoSE="Nº 4")),SUM(Formulário!$V$33*Formulário!$AB$33,Formulário!$AJ$33*Formulário!$AP$33,Formulário!$V$35*Formulário!$AB$35,Formulário!$AJ$35*Formulário!$AP$35),0))))</f>
        <v>0</v>
      </c>
      <c r="E24" t="s">
        <v>229</v>
      </c>
    </row>
    <row r="25" spans="1:10" x14ac:dyDescent="0.25">
      <c r="A25" t="s">
        <v>246</v>
      </c>
      <c r="B25" s="41">
        <f>IF(Formulário!L94=Dados!B40,COUNTA(CargaInstalada),1)</f>
        <v>1</v>
      </c>
      <c r="D25">
        <f>IF(TipoSE="Nº 2",1,0)</f>
        <v>0</v>
      </c>
      <c r="E25" t="s">
        <v>493</v>
      </c>
    </row>
    <row r="26" spans="1:10" x14ac:dyDescent="0.25">
      <c r="A26" s="9" t="s">
        <v>53</v>
      </c>
      <c r="B26" s="41">
        <f>COUNTA(Formulário!L41)</f>
        <v>0</v>
      </c>
    </row>
    <row r="27" spans="1:10" x14ac:dyDescent="0.25">
      <c r="A27" t="s">
        <v>215</v>
      </c>
      <c r="B27" s="41">
        <f>COUNTA(Formulário!I43)</f>
        <v>0</v>
      </c>
      <c r="D27" t="s">
        <v>490</v>
      </c>
    </row>
    <row r="28" spans="1:10" x14ac:dyDescent="0.25">
      <c r="A28" t="s">
        <v>233</v>
      </c>
      <c r="B28" s="17">
        <f>IF(Dados!D13=1,1,COUNTA(Formulário!AD43))</f>
        <v>0</v>
      </c>
      <c r="D28" t="s">
        <v>491</v>
      </c>
      <c r="E28">
        <f>IF(D22=1,IF(OR(Formulário!$P$48&gt;Formulário!N35,Formulário!$P$50&gt;Formulário!N35),1,0),0)</f>
        <v>0</v>
      </c>
    </row>
    <row r="29" spans="1:10" x14ac:dyDescent="0.25">
      <c r="A29" s="9" t="s">
        <v>28</v>
      </c>
      <c r="B29" s="41">
        <f>COUNTA(Formulário!I46)</f>
        <v>0</v>
      </c>
      <c r="D29" t="s">
        <v>492</v>
      </c>
      <c r="E29">
        <f>IF(D21=1,IF(OR(Formulário!$P$48&gt;SUM(Formulário!$V$35*Formulário!$AB$35,Formulário!$V$33*Formulário!$AB$33,Formulário!$AJ$33*Formulário!$AP$33,Formulário!$AJ$35*Formulário!$AP$35),Formulário!$P$50&gt;SUM(Formulário!$V$35*Formulário!$AB$35,Formulário!$V$33*Formulário!$AB$33,Formulário!$AJ$33*Formulário!$AP$33,Formulário!$AJ$35*Formulário!$AP$35)),1,0),0)</f>
        <v>0</v>
      </c>
    </row>
    <row r="30" spans="1:10" x14ac:dyDescent="0.25">
      <c r="A30" s="9" t="s">
        <v>230</v>
      </c>
      <c r="B30" s="41">
        <f>IF(Dados!D6=3,COUNTA(Formulário!AN48),1)</f>
        <v>1</v>
      </c>
    </row>
    <row r="31" spans="1:10" x14ac:dyDescent="0.25">
      <c r="A31" s="9" t="s">
        <v>51</v>
      </c>
      <c r="B31" s="41">
        <v>1</v>
      </c>
      <c r="C31" t="s">
        <v>127</v>
      </c>
    </row>
    <row r="32" spans="1:10" x14ac:dyDescent="0.25">
      <c r="A32" s="19" t="s">
        <v>234</v>
      </c>
      <c r="B32" s="41">
        <f>IF(OR(TipoSE="Nº 1",Formulário!I46=Apoio!A2),1,IF(AND(Formulário!I46=Apoio!A2,D23=1,Formulário!P53="Sim"),0,COUNTA(Formulário!P53)))</f>
        <v>0</v>
      </c>
    </row>
    <row r="33" spans="1:3" x14ac:dyDescent="0.25">
      <c r="A33" s="19" t="s">
        <v>507</v>
      </c>
      <c r="B33" s="41">
        <f>COUNTA(Formulário!AE57)</f>
        <v>1</v>
      </c>
    </row>
    <row r="34" spans="1:3" x14ac:dyDescent="0.25">
      <c r="A34" s="9" t="s">
        <v>54</v>
      </c>
      <c r="B34" s="41">
        <f>COUNTA(TipoFonte)</f>
        <v>1</v>
      </c>
    </row>
    <row r="35" spans="1:3" x14ac:dyDescent="0.25">
      <c r="A35" s="9" t="s">
        <v>55</v>
      </c>
      <c r="B35" s="41">
        <f>COUNTA(Formulário!L94)</f>
        <v>0</v>
      </c>
    </row>
    <row r="36" spans="1:3" x14ac:dyDescent="0.25">
      <c r="A36" t="s">
        <v>56</v>
      </c>
      <c r="B36" s="41">
        <v>1</v>
      </c>
      <c r="C36" t="s">
        <v>127</v>
      </c>
    </row>
    <row r="37" spans="1:3" x14ac:dyDescent="0.25">
      <c r="A37" t="s">
        <v>58</v>
      </c>
      <c r="B37" s="41">
        <f>COUNTA(Formulário!AS94)</f>
        <v>0</v>
      </c>
    </row>
    <row r="38" spans="1:3" x14ac:dyDescent="0.25">
      <c r="A38" s="58" t="str">
        <f>IF(TipoFonte="Solar","Potência Total Módulos (kW)",IF(OR(TipoFonte="Hidráulica",TipoFonte="Biomassa",TipoFonte="Cogeração Qualificada"),"Potência Aparente (kVA)",IF(TipoFonte="Eólica","Quantidade de Aerogeradores","")))</f>
        <v>Potência Total Módulos (kW)</v>
      </c>
      <c r="B38" s="41">
        <f>COUNTA(Formulário!P109)</f>
        <v>0</v>
      </c>
    </row>
    <row r="39" spans="1:3" x14ac:dyDescent="0.25">
      <c r="A39" s="58" t="str">
        <f>IF(TipoFonte="Solar","Potência Total Inversores (kW)",IF(OR(TipoFonte="Hidráulica",TipoFonte="Biomassa",TipoFonte="Eólica",TipoFonte="Cogeração Qualificada"),"Potência Instalada (kW)",""))</f>
        <v>Potência Total Inversores (kW)</v>
      </c>
      <c r="B39" s="41">
        <f>COUNTA(Formulário!P111)</f>
        <v>0</v>
      </c>
    </row>
    <row r="40" spans="1:3" x14ac:dyDescent="0.25">
      <c r="A40" s="58" t="str">
        <f>IF(TipoFonte="Solar","Área dos Arranjos (m²)",IF(OR(TipoFonte="Hidráulica",TipoFonte="Biomassa",TipoFonte="Eólica",TipoFonte="Cogeração Qualificada"),"Fator de Potência",""))</f>
        <v>Área dos Arranjos (m²)</v>
      </c>
      <c r="B40" s="41">
        <f>COUNTA(Formulário!P113)</f>
        <v>0</v>
      </c>
    </row>
    <row r="41" spans="1:3" x14ac:dyDescent="0.25">
      <c r="A41" s="58" t="str">
        <f>IF(TipoFonte="Solar","Quantidade de Módulos",IF(TipoFonte="Hidráulica","Tensão (kV)",IF(OR(TipoFonte="Cogeração Qualificada",TipoFonte="Biomassa"),"Combustível",IF(TipoFonte="Eólica","Fabricante dos Aerogeradores",""))))</f>
        <v>Quantidade de Módulos</v>
      </c>
      <c r="B41" s="41">
        <f>COUNTA(Formulário!P115)</f>
        <v>0</v>
      </c>
    </row>
    <row r="42" spans="1:3" x14ac:dyDescent="0.25">
      <c r="A42" s="58" t="str">
        <f>IF(TipoFonte="Solar","Modelo dos Módulos",IF(OR(TipoFonte="Cogeração Qualificada",TipoFonte="Biomassa"),"Máquina Motriz (Motor/Turbina)",IF(TipoFonte="Eólica","Altura da pá (m)",IF(TipoFonte="Hidráulica","Nome do rio",""))))</f>
        <v>Modelo dos Módulos</v>
      </c>
      <c r="B42" s="41">
        <f>COUNTA(Formulário!P117)</f>
        <v>0</v>
      </c>
    </row>
    <row r="43" spans="1:3" x14ac:dyDescent="0.25">
      <c r="A43" s="58" t="str">
        <f>IF(TipoFonte="Solar","Fabricante dos Módulos",IF(TipoFonte="Hidráulica","Nível Operacional Normal de Jusante (m)",IF(OR(TipoFonte="Cogeração Qualificada",TipoFonte="Biomassa"),"Ciclo Termodinâmico (Aberto/Fechado)",IF(TipoFonte="Eólica","Eixo do rotor",""))))</f>
        <v>Fabricante dos Módulos</v>
      </c>
      <c r="B43" s="41">
        <f>COUNTA(Formulário!P119)</f>
        <v>0</v>
      </c>
    </row>
    <row r="44" spans="1:3" x14ac:dyDescent="0.25">
      <c r="A44" s="58" t="str">
        <f>IF(TipoFonte="Solar","Quantidade de Inversores",IF(OR(TipoFonte="Cogeração Qualificada",TipoFonte="Biomassa"),"Número do Despacho de qualificação",IF(TipoFonte="Eólica","Modelo dos Aerogeradores","")))</f>
        <v>Quantidade de Inversores</v>
      </c>
      <c r="B44" s="41">
        <f>IF(A44="",1,COUNTA(Formulário!P121))</f>
        <v>0</v>
      </c>
    </row>
    <row r="45" spans="1:3" x14ac:dyDescent="0.25">
      <c r="A45" s="58" t="str">
        <f>IF(TipoFonte="Solar","Modelo dos Inversores","")</f>
        <v>Modelo dos Inversores</v>
      </c>
      <c r="B45" s="41">
        <f>IF(A45="",1,COUNTA(Formulário!P123))</f>
        <v>0</v>
      </c>
    </row>
    <row r="46" spans="1:3" x14ac:dyDescent="0.25">
      <c r="A46" s="58" t="str">
        <f>IF(TipoFonte="Solar","Fabricante dos Inversores","")</f>
        <v>Fabricante dos Inversores</v>
      </c>
      <c r="B46" s="41">
        <f>IF(A46="",1,COUNTA(Formulário!P125))</f>
        <v>0</v>
      </c>
    </row>
    <row r="47" spans="1:3" x14ac:dyDescent="0.25">
      <c r="A47" t="s">
        <v>223</v>
      </c>
      <c r="B47" s="41">
        <f>COUNTA(Formulário!O269)</f>
        <v>0</v>
      </c>
    </row>
    <row r="48" spans="1:3" x14ac:dyDescent="0.25">
      <c r="A48" t="s">
        <v>243</v>
      </c>
      <c r="B48" s="41">
        <f>COUNTA(Formulário!O271)</f>
        <v>0</v>
      </c>
    </row>
    <row r="49" spans="1:2" x14ac:dyDescent="0.25">
      <c r="A49" t="s">
        <v>224</v>
      </c>
      <c r="B49" s="41">
        <f>COUNTA(Formulário!Y271)</f>
        <v>0</v>
      </c>
    </row>
    <row r="50" spans="1:2" x14ac:dyDescent="0.25">
      <c r="A50" t="s">
        <v>201</v>
      </c>
      <c r="B50" s="41">
        <f>COUNTA(Formulário!Q274)</f>
        <v>0</v>
      </c>
    </row>
    <row r="51" spans="1:2" x14ac:dyDescent="0.25">
      <c r="A51" t="s">
        <v>203</v>
      </c>
      <c r="B51" s="41">
        <f>COUNTA(Formulário!O276)</f>
        <v>0</v>
      </c>
    </row>
    <row r="52" spans="1:2" x14ac:dyDescent="0.25">
      <c r="A52" t="s">
        <v>244</v>
      </c>
      <c r="B52" s="41">
        <f>COUNTA(Formulário!O280)</f>
        <v>0</v>
      </c>
    </row>
    <row r="53" spans="1:2" x14ac:dyDescent="0.25">
      <c r="A53" t="s">
        <v>225</v>
      </c>
      <c r="B53" s="41">
        <f>COUNTA(Formulário!Y280)</f>
        <v>0</v>
      </c>
    </row>
    <row r="54" spans="1:2" x14ac:dyDescent="0.25">
      <c r="A54" t="s">
        <v>208</v>
      </c>
      <c r="B54" s="41">
        <f>COUNTA(Formulário!C291)</f>
        <v>0</v>
      </c>
    </row>
  </sheetData>
  <sheetProtection algorithmName="SHA-512" hashValue="OKK39i7/Bo0B62kjY5FP1DkVvRUUfxDJrsIGk7dDy4vQm42RW5CYTgfI6ubKFxSb3Xwup/a9D0Td98WJZPQMdA==" saltValue="kMFxaFy8gZzVjSAvKY0ajQ==" spinCount="100000" sheet="1" objects="1" scenarios="1"/>
  <phoneticPr fontId="15" type="noConversion"/>
  <pageMargins left="0.511811024" right="0.511811024" top="0.78740157499999996" bottom="0.78740157499999996" header="0.31496062000000002" footer="0.31496062000000002"/>
  <headerFooter>
    <oddFooter>&amp;R_x000D_&amp;1#&amp;"Calibri"&amp;10&amp;K000000 Classificação: Público</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0998B-7660-4739-8E7B-9B86724D7CFC}">
  <sheetPr>
    <tabColor theme="8" tint="0.59999389629810485"/>
  </sheetPr>
  <dimension ref="A1:AG23"/>
  <sheetViews>
    <sheetView showGridLines="0" showRowColHeaders="0" workbookViewId="0"/>
  </sheetViews>
  <sheetFormatPr defaultRowHeight="15" x14ac:dyDescent="0.25"/>
  <cols>
    <col min="1" max="1" width="93.85546875" style="65" bestFit="1" customWidth="1"/>
    <col min="2" max="33" width="9.140625" style="65"/>
  </cols>
  <sheetData>
    <row r="1" spans="1:33" s="75" customFormat="1" x14ac:dyDescent="0.25">
      <c r="A1" s="85" t="s">
        <v>360</v>
      </c>
      <c r="B1" s="65"/>
      <c r="C1" s="65"/>
      <c r="D1" s="65"/>
      <c r="E1" s="65"/>
      <c r="F1" s="65"/>
      <c r="G1" s="65"/>
      <c r="H1" s="65"/>
      <c r="I1" s="65"/>
      <c r="J1" s="65"/>
      <c r="K1" s="65"/>
      <c r="L1" s="65"/>
      <c r="M1" s="65"/>
      <c r="N1" s="65"/>
      <c r="O1" s="76"/>
      <c r="P1" s="76"/>
      <c r="Q1" s="76"/>
      <c r="R1" s="76"/>
      <c r="S1" s="76"/>
      <c r="T1" s="76"/>
      <c r="U1" s="76"/>
      <c r="V1" s="76"/>
      <c r="W1" s="76"/>
      <c r="X1" s="76"/>
      <c r="Y1" s="76"/>
      <c r="Z1" s="76"/>
      <c r="AA1" s="76"/>
      <c r="AB1" s="76"/>
      <c r="AC1" s="76"/>
      <c r="AD1" s="76"/>
      <c r="AE1" s="76"/>
      <c r="AF1" s="76"/>
      <c r="AG1" s="76"/>
    </row>
    <row r="2" spans="1:33" x14ac:dyDescent="0.25">
      <c r="A2" s="84" t="s">
        <v>357</v>
      </c>
    </row>
    <row r="3" spans="1:33" ht="15.75" thickBot="1" x14ac:dyDescent="0.3">
      <c r="A3" s="85"/>
    </row>
    <row r="4" spans="1:33" ht="15.75" thickBot="1" x14ac:dyDescent="0.3">
      <c r="A4" s="77" t="s">
        <v>267</v>
      </c>
      <c r="B4" s="78" t="s">
        <v>268</v>
      </c>
      <c r="C4" s="78" t="s">
        <v>269</v>
      </c>
      <c r="D4" s="78" t="s">
        <v>270</v>
      </c>
      <c r="E4" s="78" t="s">
        <v>271</v>
      </c>
      <c r="F4" s="78">
        <v>1</v>
      </c>
      <c r="G4" s="78" t="s">
        <v>272</v>
      </c>
      <c r="H4" s="78">
        <v>2</v>
      </c>
      <c r="I4" s="78">
        <v>3</v>
      </c>
      <c r="J4" s="78">
        <v>4</v>
      </c>
      <c r="K4" s="78">
        <v>5</v>
      </c>
      <c r="L4" s="78" t="s">
        <v>273</v>
      </c>
      <c r="M4" s="79">
        <v>10</v>
      </c>
      <c r="N4" s="79" t="s">
        <v>274</v>
      </c>
    </row>
    <row r="5" spans="1:33" ht="15.75" thickBot="1" x14ac:dyDescent="0.3">
      <c r="A5" s="80" t="s">
        <v>275</v>
      </c>
      <c r="B5" s="81" t="s">
        <v>276</v>
      </c>
      <c r="C5" s="81" t="s">
        <v>277</v>
      </c>
      <c r="D5" s="81" t="s">
        <v>278</v>
      </c>
      <c r="E5" s="81" t="s">
        <v>279</v>
      </c>
      <c r="F5" s="81" t="s">
        <v>280</v>
      </c>
      <c r="G5" s="81" t="s">
        <v>281</v>
      </c>
      <c r="H5" s="81" t="s">
        <v>282</v>
      </c>
      <c r="I5" s="81" t="s">
        <v>283</v>
      </c>
      <c r="J5" s="81" t="s">
        <v>284</v>
      </c>
      <c r="K5" s="81" t="s">
        <v>285</v>
      </c>
      <c r="L5" s="81" t="s">
        <v>286</v>
      </c>
      <c r="M5" s="82" t="s">
        <v>287</v>
      </c>
      <c r="N5" s="82" t="s">
        <v>288</v>
      </c>
    </row>
    <row r="6" spans="1:33" ht="15.75" thickBot="1" x14ac:dyDescent="0.3">
      <c r="A6" s="80" t="s">
        <v>289</v>
      </c>
      <c r="B6" s="81" t="s">
        <v>290</v>
      </c>
      <c r="C6" s="81" t="s">
        <v>291</v>
      </c>
      <c r="D6" s="81" t="s">
        <v>292</v>
      </c>
      <c r="E6" s="81" t="s">
        <v>293</v>
      </c>
      <c r="F6" s="81" t="s">
        <v>294</v>
      </c>
      <c r="G6" s="81" t="s">
        <v>295</v>
      </c>
      <c r="H6" s="81" t="s">
        <v>296</v>
      </c>
      <c r="I6" s="81" t="s">
        <v>297</v>
      </c>
      <c r="J6" s="81" t="s">
        <v>298</v>
      </c>
      <c r="K6" s="81" t="s">
        <v>299</v>
      </c>
      <c r="L6" s="81" t="s">
        <v>300</v>
      </c>
      <c r="M6" s="82" t="s">
        <v>301</v>
      </c>
      <c r="N6" s="82" t="s">
        <v>302</v>
      </c>
    </row>
    <row r="7" spans="1:33" x14ac:dyDescent="0.25">
      <c r="A7" s="86"/>
    </row>
    <row r="8" spans="1:33" x14ac:dyDescent="0.25">
      <c r="A8" s="84" t="s">
        <v>358</v>
      </c>
    </row>
    <row r="9" spans="1:33" ht="15.75" thickBot="1" x14ac:dyDescent="0.3">
      <c r="A9" s="84"/>
    </row>
    <row r="10" spans="1:33" ht="15.75" thickBot="1" x14ac:dyDescent="0.3">
      <c r="A10" s="77" t="s">
        <v>267</v>
      </c>
      <c r="B10" s="78" t="s">
        <v>303</v>
      </c>
      <c r="C10" s="78" t="s">
        <v>268</v>
      </c>
      <c r="D10" s="78" t="s">
        <v>269</v>
      </c>
      <c r="E10" s="78" t="s">
        <v>270</v>
      </c>
      <c r="F10" s="78" t="s">
        <v>271</v>
      </c>
      <c r="G10" s="83">
        <v>1</v>
      </c>
      <c r="H10" s="83" t="s">
        <v>272</v>
      </c>
      <c r="I10" s="83">
        <v>2</v>
      </c>
      <c r="J10" s="83">
        <v>3</v>
      </c>
      <c r="K10" s="83">
        <v>4</v>
      </c>
      <c r="L10" s="83">
        <v>5</v>
      </c>
    </row>
    <row r="11" spans="1:33" ht="15.75" thickBot="1" x14ac:dyDescent="0.3">
      <c r="A11" s="80" t="s">
        <v>275</v>
      </c>
      <c r="B11" s="81" t="s">
        <v>304</v>
      </c>
      <c r="C11" s="81" t="s">
        <v>305</v>
      </c>
      <c r="D11" s="81" t="s">
        <v>306</v>
      </c>
      <c r="E11" s="81" t="s">
        <v>307</v>
      </c>
      <c r="F11" s="81" t="s">
        <v>308</v>
      </c>
      <c r="G11" s="81" t="s">
        <v>309</v>
      </c>
      <c r="H11" s="81" t="s">
        <v>281</v>
      </c>
      <c r="I11" s="81" t="s">
        <v>310</v>
      </c>
      <c r="J11" s="81" t="s">
        <v>311</v>
      </c>
      <c r="K11" s="81" t="s">
        <v>312</v>
      </c>
      <c r="L11" s="81" t="s">
        <v>313</v>
      </c>
    </row>
    <row r="12" spans="1:33" ht="15.75" thickBot="1" x14ac:dyDescent="0.3">
      <c r="A12" s="80" t="s">
        <v>289</v>
      </c>
      <c r="B12" s="81" t="s">
        <v>314</v>
      </c>
      <c r="C12" s="81" t="s">
        <v>315</v>
      </c>
      <c r="D12" s="81" t="s">
        <v>316</v>
      </c>
      <c r="E12" s="81" t="s">
        <v>317</v>
      </c>
      <c r="F12" s="81" t="s">
        <v>318</v>
      </c>
      <c r="G12" s="81" t="s">
        <v>319</v>
      </c>
      <c r="H12" s="81" t="s">
        <v>320</v>
      </c>
      <c r="I12" s="81" t="s">
        <v>321</v>
      </c>
      <c r="J12" s="81" t="s">
        <v>322</v>
      </c>
      <c r="K12" s="81" t="s">
        <v>323</v>
      </c>
      <c r="L12" s="81" t="s">
        <v>324</v>
      </c>
    </row>
    <row r="13" spans="1:33" ht="15.75" thickBot="1" x14ac:dyDescent="0.3">
      <c r="A13" s="86"/>
    </row>
    <row r="14" spans="1:33" ht="15.75" thickBot="1" x14ac:dyDescent="0.3">
      <c r="A14" s="77" t="s">
        <v>267</v>
      </c>
      <c r="B14" s="83">
        <v>6</v>
      </c>
      <c r="C14" s="83" t="s">
        <v>273</v>
      </c>
      <c r="D14" s="83">
        <v>10</v>
      </c>
      <c r="E14" s="83" t="s">
        <v>274</v>
      </c>
      <c r="F14" s="83">
        <v>15</v>
      </c>
      <c r="G14" s="83">
        <v>20</v>
      </c>
      <c r="H14" s="83">
        <v>25</v>
      </c>
      <c r="I14" s="83">
        <v>30</v>
      </c>
      <c r="J14" s="83">
        <v>50</v>
      </c>
      <c r="K14" s="83">
        <v>60</v>
      </c>
      <c r="L14" s="83">
        <v>75</v>
      </c>
    </row>
    <row r="15" spans="1:33" ht="15.75" thickBot="1" x14ac:dyDescent="0.3">
      <c r="A15" s="80" t="s">
        <v>275</v>
      </c>
      <c r="B15" s="81" t="s">
        <v>325</v>
      </c>
      <c r="C15" s="81" t="s">
        <v>326</v>
      </c>
      <c r="D15" s="81" t="s">
        <v>327</v>
      </c>
      <c r="E15" s="81" t="s">
        <v>328</v>
      </c>
      <c r="F15" s="81" t="s">
        <v>329</v>
      </c>
      <c r="G15" s="81" t="s">
        <v>330</v>
      </c>
      <c r="H15" s="81" t="s">
        <v>331</v>
      </c>
      <c r="I15" s="81" t="s">
        <v>332</v>
      </c>
      <c r="J15" s="81" t="s">
        <v>333</v>
      </c>
      <c r="K15" s="81" t="s">
        <v>334</v>
      </c>
      <c r="L15" s="81" t="s">
        <v>335</v>
      </c>
    </row>
    <row r="16" spans="1:33" ht="15.75" thickBot="1" x14ac:dyDescent="0.3">
      <c r="A16" s="80" t="s">
        <v>289</v>
      </c>
      <c r="B16" s="81" t="s">
        <v>336</v>
      </c>
      <c r="C16" s="81" t="s">
        <v>337</v>
      </c>
      <c r="D16" s="81" t="s">
        <v>338</v>
      </c>
      <c r="E16" s="81" t="s">
        <v>339</v>
      </c>
      <c r="F16" s="81" t="s">
        <v>340</v>
      </c>
      <c r="G16" s="81" t="s">
        <v>341</v>
      </c>
      <c r="H16" s="81" t="s">
        <v>342</v>
      </c>
      <c r="I16" s="81" t="s">
        <v>343</v>
      </c>
      <c r="J16" s="81" t="s">
        <v>344</v>
      </c>
      <c r="K16" s="81" t="s">
        <v>345</v>
      </c>
      <c r="L16" s="81" t="s">
        <v>346</v>
      </c>
    </row>
    <row r="17" spans="1:8" x14ac:dyDescent="0.25">
      <c r="A17" s="85"/>
    </row>
    <row r="18" spans="1:8" x14ac:dyDescent="0.25">
      <c r="A18" s="86" t="s">
        <v>347</v>
      </c>
    </row>
    <row r="19" spans="1:8" x14ac:dyDescent="0.25">
      <c r="A19" s="86"/>
    </row>
    <row r="20" spans="1:8" x14ac:dyDescent="0.25">
      <c r="A20" s="84" t="s">
        <v>359</v>
      </c>
    </row>
    <row r="21" spans="1:8" ht="15.75" thickBot="1" x14ac:dyDescent="0.3">
      <c r="A21" s="87"/>
    </row>
    <row r="22" spans="1:8" ht="15.75" thickBot="1" x14ac:dyDescent="0.3">
      <c r="A22" s="77" t="s">
        <v>348</v>
      </c>
      <c r="B22" s="83">
        <v>8.5</v>
      </c>
      <c r="C22" s="83">
        <v>10</v>
      </c>
      <c r="D22" s="83">
        <v>12</v>
      </c>
      <c r="E22" s="83">
        <v>14</v>
      </c>
      <c r="F22" s="83">
        <v>18</v>
      </c>
      <c r="G22" s="83">
        <v>21</v>
      </c>
      <c r="H22" s="83">
        <v>30</v>
      </c>
    </row>
    <row r="23" spans="1:8" ht="15.75" thickBot="1" x14ac:dyDescent="0.3">
      <c r="A23" s="80" t="s">
        <v>349</v>
      </c>
      <c r="B23" s="81" t="s">
        <v>350</v>
      </c>
      <c r="C23" s="81" t="s">
        <v>351</v>
      </c>
      <c r="D23" s="81" t="s">
        <v>352</v>
      </c>
      <c r="E23" s="81" t="s">
        <v>353</v>
      </c>
      <c r="F23" s="81" t="s">
        <v>354</v>
      </c>
      <c r="G23" s="81" t="s">
        <v>355</v>
      </c>
      <c r="H23" s="81" t="s">
        <v>356</v>
      </c>
    </row>
  </sheetData>
  <sheetProtection algorithmName="SHA-512" hashValue="4ex8j3KBeP1Xjb+C6e5RwxUS7FCzy94mC07LhxWKCuW8MV4kFjImlob7DVTYur8sHoGR2Os+HuOtMxoFYYlTjA==" saltValue="20lxPaz9h8DWUiAsz8SyOA==" spinCount="100000" sheet="1" objects="1" scenarios="1"/>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DADFC-B4FB-440F-BD10-18B96666ED5C}">
  <dimension ref="A1:P42"/>
  <sheetViews>
    <sheetView workbookViewId="0">
      <selection activeCell="B8" sqref="B8"/>
    </sheetView>
  </sheetViews>
  <sheetFormatPr defaultRowHeight="15" x14ac:dyDescent="0.25"/>
  <cols>
    <col min="1" max="1" width="29.7109375" customWidth="1"/>
    <col min="2" max="2" width="15.5703125" customWidth="1"/>
    <col min="9" max="9" width="14.28515625" bestFit="1" customWidth="1"/>
    <col min="16" max="16" width="14.28515625" bestFit="1" customWidth="1"/>
  </cols>
  <sheetData>
    <row r="1" spans="1:12" x14ac:dyDescent="0.25">
      <c r="A1" s="107" t="s">
        <v>412</v>
      </c>
      <c r="L1" t="s">
        <v>430</v>
      </c>
    </row>
    <row r="2" spans="1:12" x14ac:dyDescent="0.25">
      <c r="A2" s="107" t="s">
        <v>413</v>
      </c>
    </row>
    <row r="3" spans="1:12" x14ac:dyDescent="0.25">
      <c r="A3" s="107" t="s">
        <v>414</v>
      </c>
    </row>
    <row r="4" spans="1:12" x14ac:dyDescent="0.25">
      <c r="A4" s="107" t="s">
        <v>415</v>
      </c>
    </row>
    <row r="5" spans="1:12" x14ac:dyDescent="0.25">
      <c r="A5" s="107" t="s">
        <v>416</v>
      </c>
    </row>
    <row r="6" spans="1:12" x14ac:dyDescent="0.25">
      <c r="A6" s="107" t="s">
        <v>417</v>
      </c>
    </row>
    <row r="8" spans="1:12" x14ac:dyDescent="0.25">
      <c r="A8" s="108" t="s">
        <v>440</v>
      </c>
      <c r="B8" s="54" t="str">
        <f>Pot_Ativa_Instalada</f>
        <v/>
      </c>
    </row>
    <row r="10" spans="1:12" x14ac:dyDescent="0.25">
      <c r="A10" s="108" t="s">
        <v>442</v>
      </c>
      <c r="B10" s="54">
        <f>IF(Formulário!I46=Dados!B6,Formulário!AN48,0)</f>
        <v>0</v>
      </c>
    </row>
    <row r="12" spans="1:12" x14ac:dyDescent="0.25">
      <c r="A12" s="108" t="s">
        <v>441</v>
      </c>
      <c r="B12" s="54" t="e">
        <f>B8-B10</f>
        <v>#VALUE!</v>
      </c>
    </row>
    <row r="14" spans="1:12" x14ac:dyDescent="0.25">
      <c r="A14" s="108" t="s">
        <v>418</v>
      </c>
      <c r="B14" s="54" t="e">
        <f>IF(AND(B12&gt;500,B12&lt;1000),D14,IF(B12&gt;=1000,D15,0))</f>
        <v>#VALUE!</v>
      </c>
      <c r="D14">
        <f>2.5/100</f>
        <v>2.5000000000000001E-2</v>
      </c>
      <c r="F14" t="s">
        <v>419</v>
      </c>
    </row>
    <row r="15" spans="1:12" x14ac:dyDescent="0.25">
      <c r="D15">
        <f>5/100</f>
        <v>0.05</v>
      </c>
      <c r="F15" t="s">
        <v>420</v>
      </c>
    </row>
    <row r="16" spans="1:12" x14ac:dyDescent="0.25">
      <c r="A16" s="54" t="s">
        <v>421</v>
      </c>
      <c r="B16" s="54">
        <f>VLOOKUP(F20,J19:K24,2,FALSE)</f>
        <v>4000</v>
      </c>
    </row>
    <row r="18" spans="1:15" x14ac:dyDescent="0.25">
      <c r="A18" s="54" t="s">
        <v>422</v>
      </c>
      <c r="B18" s="109" t="e">
        <f>IF(OR(Formulário!L94="Geração Compartilhada",Formulário!L94="Empreendimento de Múltiplas Unidades Consumidoras"),0,B14*B12*B16)</f>
        <v>#VALUE!</v>
      </c>
    </row>
    <row r="19" spans="1:15" x14ac:dyDescent="0.25">
      <c r="F19" t="s">
        <v>433</v>
      </c>
      <c r="J19" t="s">
        <v>423</v>
      </c>
      <c r="K19" t="s">
        <v>424</v>
      </c>
    </row>
    <row r="20" spans="1:15" x14ac:dyDescent="0.25">
      <c r="F20" t="str">
        <f>TipoFonte</f>
        <v>Solar</v>
      </c>
      <c r="J20" t="s">
        <v>397</v>
      </c>
      <c r="K20">
        <v>4000</v>
      </c>
    </row>
    <row r="21" spans="1:15" x14ac:dyDescent="0.25">
      <c r="J21" t="s">
        <v>411</v>
      </c>
      <c r="K21">
        <v>5000</v>
      </c>
    </row>
    <row r="22" spans="1:15" x14ac:dyDescent="0.25">
      <c r="J22" t="s">
        <v>425</v>
      </c>
      <c r="K22">
        <v>4000</v>
      </c>
    </row>
    <row r="23" spans="1:15" x14ac:dyDescent="0.25">
      <c r="J23" t="s">
        <v>426</v>
      </c>
      <c r="K23">
        <v>4000</v>
      </c>
    </row>
    <row r="24" spans="1:15" x14ac:dyDescent="0.25">
      <c r="J24" t="s">
        <v>427</v>
      </c>
      <c r="K24">
        <v>4500</v>
      </c>
    </row>
    <row r="27" spans="1:15" x14ac:dyDescent="0.25">
      <c r="A27" t="s">
        <v>432</v>
      </c>
    </row>
    <row r="28" spans="1:15" x14ac:dyDescent="0.25">
      <c r="F28" t="s">
        <v>434</v>
      </c>
    </row>
    <row r="29" spans="1:15" x14ac:dyDescent="0.25">
      <c r="F29">
        <f>TipoFonte2</f>
        <v>0</v>
      </c>
    </row>
    <row r="31" spans="1:15" x14ac:dyDescent="0.25">
      <c r="A31" t="s">
        <v>435</v>
      </c>
      <c r="H31" t="s">
        <v>436</v>
      </c>
      <c r="O31" t="s">
        <v>437</v>
      </c>
    </row>
    <row r="32" spans="1:15" x14ac:dyDescent="0.25">
      <c r="A32" s="108" t="s">
        <v>443</v>
      </c>
      <c r="B32" s="54" t="str">
        <f>Formulário!AF92</f>
        <v/>
      </c>
      <c r="D32">
        <f>2.5/100</f>
        <v>2.5000000000000001E-2</v>
      </c>
      <c r="F32" t="s">
        <v>419</v>
      </c>
      <c r="H32" s="108" t="s">
        <v>418</v>
      </c>
      <c r="I32" s="54">
        <f>IF(AND(Formulário!AR92&gt;500,Formulário!AR92&lt;1000),K32,IF(Formulário!AR92&gt;=1000,K33,0))</f>
        <v>0.05</v>
      </c>
      <c r="K32">
        <f>2.5/100</f>
        <v>2.5000000000000001E-2</v>
      </c>
      <c r="M32" t="s">
        <v>419</v>
      </c>
    </row>
    <row r="33" spans="1:16" x14ac:dyDescent="0.25">
      <c r="D33">
        <f>5/100</f>
        <v>0.05</v>
      </c>
      <c r="F33" t="s">
        <v>420</v>
      </c>
      <c r="K33">
        <f>5/100</f>
        <v>0.05</v>
      </c>
      <c r="M33" t="s">
        <v>420</v>
      </c>
    </row>
    <row r="34" spans="1:16" x14ac:dyDescent="0.25">
      <c r="A34" s="108" t="s">
        <v>442</v>
      </c>
      <c r="B34" s="54">
        <f>IF(Formulário!I46=Dados!B6,Formulário!AN48,0)</f>
        <v>0</v>
      </c>
      <c r="H34" s="54" t="s">
        <v>142</v>
      </c>
      <c r="I34" s="54" t="str">
        <f>Formulário!AR92</f>
        <v/>
      </c>
    </row>
    <row r="36" spans="1:16" x14ac:dyDescent="0.25">
      <c r="A36" s="108" t="s">
        <v>441</v>
      </c>
      <c r="B36" s="54" t="e">
        <f>B32-B34</f>
        <v>#VALUE!</v>
      </c>
      <c r="H36" s="54" t="s">
        <v>421</v>
      </c>
      <c r="I36" s="54" t="e">
        <f>VLOOKUP(F29,J19:K24,2,FALSE)</f>
        <v>#N/A</v>
      </c>
    </row>
    <row r="38" spans="1:16" x14ac:dyDescent="0.25">
      <c r="A38" s="108" t="s">
        <v>418</v>
      </c>
      <c r="B38" s="54" t="e">
        <f>IF(AND(B36&gt;500,B36&lt;1000),D32,IF(B36&gt;=1000,D33,0))</f>
        <v>#VALUE!</v>
      </c>
      <c r="H38" s="54" t="s">
        <v>422</v>
      </c>
      <c r="I38" s="109" t="e">
        <f>IF(OR(Formulário!L94="Geração Compartilhada",Formulário!L94="Empreendimento de Múltiplas Unidades Consumidoras"),0,I32*I34*I36)</f>
        <v>#VALUE!</v>
      </c>
      <c r="O38" s="54" t="s">
        <v>422</v>
      </c>
      <c r="P38" s="109" t="e">
        <f>B42+I38</f>
        <v>#VALUE!</v>
      </c>
    </row>
    <row r="40" spans="1:16" x14ac:dyDescent="0.25">
      <c r="A40" s="54" t="s">
        <v>421</v>
      </c>
      <c r="B40" s="54">
        <f>VLOOKUP(F20,J19:K24,2,FALSE)</f>
        <v>4000</v>
      </c>
    </row>
    <row r="42" spans="1:16" x14ac:dyDescent="0.25">
      <c r="A42" s="54" t="s">
        <v>422</v>
      </c>
      <c r="B42" s="109" t="e">
        <f>IF(OR(Formulário!L94="Geração Compartilhada",Formulário!L94="Empreendimento de Múltiplas Unidades Consumidoras"),0,B38*B36*B40)</f>
        <v>#VALUE!</v>
      </c>
    </row>
  </sheetData>
  <sheetProtection algorithmName="SHA-512" hashValue="fTbmhhJorSJcuxX5rzuGYpL11Jw/ZoCU2UJt/mrkvHsNEtX7kNwu/tpmbCwJ36e/N+uVrXHUx7xbYjZnJlFRnA==" saltValue="oDeykt+PtGCsyVMvI4pPrg==" spinCount="100000" sheet="1" objects="1" scenarios="1"/>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FADF5-9BA9-48D5-B6ED-D3225FCCD8CC}">
  <dimension ref="A1:C16"/>
  <sheetViews>
    <sheetView topLeftCell="A4" workbookViewId="0">
      <selection activeCell="C16" sqref="C16"/>
    </sheetView>
  </sheetViews>
  <sheetFormatPr defaultRowHeight="15" x14ac:dyDescent="0.25"/>
  <cols>
    <col min="1" max="1" width="17.42578125" customWidth="1"/>
    <col min="2" max="2" width="10.7109375" bestFit="1" customWidth="1"/>
    <col min="3" max="3" width="88.85546875" customWidth="1"/>
  </cols>
  <sheetData>
    <row r="1" spans="1:3" x14ac:dyDescent="0.25">
      <c r="A1" t="s">
        <v>247</v>
      </c>
    </row>
    <row r="3" spans="1:3" x14ac:dyDescent="0.25">
      <c r="A3" s="71" t="s">
        <v>249</v>
      </c>
      <c r="B3" s="71" t="s">
        <v>250</v>
      </c>
      <c r="C3" s="71" t="s">
        <v>251</v>
      </c>
    </row>
    <row r="4" spans="1:3" x14ac:dyDescent="0.25">
      <c r="A4" s="23" t="s">
        <v>248</v>
      </c>
      <c r="B4" s="73">
        <v>44746</v>
      </c>
      <c r="C4" s="54" t="s">
        <v>253</v>
      </c>
    </row>
    <row r="5" spans="1:3" ht="45" x14ac:dyDescent="0.25">
      <c r="A5" s="74" t="s">
        <v>256</v>
      </c>
      <c r="B5" s="73">
        <v>44855</v>
      </c>
      <c r="C5" s="72" t="s">
        <v>254</v>
      </c>
    </row>
    <row r="6" spans="1:3" ht="60" x14ac:dyDescent="0.25">
      <c r="A6" s="23" t="s">
        <v>252</v>
      </c>
      <c r="B6" s="73">
        <v>44889</v>
      </c>
      <c r="C6" s="72" t="s">
        <v>260</v>
      </c>
    </row>
    <row r="7" spans="1:3" x14ac:dyDescent="0.25">
      <c r="A7" s="23" t="s">
        <v>261</v>
      </c>
      <c r="B7" s="73">
        <v>44907</v>
      </c>
      <c r="C7" s="72" t="s">
        <v>262</v>
      </c>
    </row>
    <row r="8" spans="1:3" ht="45" x14ac:dyDescent="0.25">
      <c r="A8" s="23" t="s">
        <v>389</v>
      </c>
      <c r="B8" s="90">
        <v>44930</v>
      </c>
      <c r="C8" s="72" t="s">
        <v>393</v>
      </c>
    </row>
    <row r="9" spans="1:3" ht="60" x14ac:dyDescent="0.25">
      <c r="A9" s="96" t="s">
        <v>395</v>
      </c>
      <c r="B9" s="97">
        <v>45009</v>
      </c>
      <c r="C9" s="98" t="s">
        <v>404</v>
      </c>
    </row>
    <row r="10" spans="1:3" ht="24" customHeight="1" x14ac:dyDescent="0.25">
      <c r="A10" s="23" t="s">
        <v>438</v>
      </c>
      <c r="B10" s="90">
        <v>45056</v>
      </c>
      <c r="C10" s="72" t="s">
        <v>439</v>
      </c>
    </row>
    <row r="11" spans="1:3" x14ac:dyDescent="0.25">
      <c r="A11" s="23" t="s">
        <v>501</v>
      </c>
      <c r="B11" s="90">
        <v>45107</v>
      </c>
      <c r="C11" s="116" t="s">
        <v>502</v>
      </c>
    </row>
    <row r="12" spans="1:3" ht="45" x14ac:dyDescent="0.25">
      <c r="A12" s="23" t="s">
        <v>505</v>
      </c>
      <c r="B12" s="90">
        <v>45306</v>
      </c>
      <c r="C12" s="72" t="s">
        <v>509</v>
      </c>
    </row>
    <row r="13" spans="1:3" ht="30" x14ac:dyDescent="0.25">
      <c r="A13" s="23" t="s">
        <v>521</v>
      </c>
      <c r="B13" s="90">
        <v>45309</v>
      </c>
      <c r="C13" s="72" t="s">
        <v>522</v>
      </c>
    </row>
    <row r="14" spans="1:3" ht="45" x14ac:dyDescent="0.25">
      <c r="A14" s="23" t="s">
        <v>528</v>
      </c>
      <c r="B14" s="90">
        <v>45504</v>
      </c>
      <c r="C14" s="72" t="s">
        <v>533</v>
      </c>
    </row>
    <row r="15" spans="1:3" ht="30" x14ac:dyDescent="0.25">
      <c r="A15" s="23" t="s">
        <v>534</v>
      </c>
      <c r="B15" s="90">
        <v>45597</v>
      </c>
      <c r="C15" s="72" t="s">
        <v>546</v>
      </c>
    </row>
    <row r="16" spans="1:3" x14ac:dyDescent="0.25">
      <c r="A16" s="54"/>
      <c r="B16" s="54"/>
      <c r="C16" s="54"/>
    </row>
  </sheetData>
  <sheetProtection algorithmName="SHA-512" hashValue="BCIMuaUAgQ+WtMP6gM7CqYcm6zIGQJHmV0xyXbhjxpuxEujeD66n6+EDrDhbb/RMrjmgaRYdS6WXYyd+rlbDhA==" saltValue="shqdIBswSZpzZTU7NBSCow==" spinCount="100000" sheet="1" objects="1" scenarios="1"/>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D33EF0AC48BE443A3D81189F34FC699" ma:contentTypeVersion="19" ma:contentTypeDescription="Crie um novo documento." ma:contentTypeScope="" ma:versionID="e8964e7058cd62ed6a19f8fc58ac3188">
  <xsd:schema xmlns:xsd="http://www.w3.org/2001/XMLSchema" xmlns:xs="http://www.w3.org/2001/XMLSchema" xmlns:p="http://schemas.microsoft.com/office/2006/metadata/properties" xmlns:ns1="http://schemas.microsoft.com/sharepoint/v3" xmlns:ns2="45d67614-f831-4c1a-b0ce-cc8ab3613f3c" xmlns:ns3="767fd1fe-d491-41e7-9dcd-363a8ae85ed5" targetNamespace="http://schemas.microsoft.com/office/2006/metadata/properties" ma:root="true" ma:fieldsID="d51cfbcfc25b5e9cf837acc9d8c7f1a3" ns1:_="" ns2:_="" ns3:_="">
    <xsd:import namespace="http://schemas.microsoft.com/sharepoint/v3"/>
    <xsd:import namespace="45d67614-f831-4c1a-b0ce-cc8ab3613f3c"/>
    <xsd:import namespace="767fd1fe-d491-41e7-9dcd-363a8ae85ed5"/>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_Flow_SignoffStatus" minOccurs="0"/>
                <xsd:element ref="ns3:SharedWithUsers" minOccurs="0"/>
                <xsd:element ref="ns3:SharedWithDetails" minOccurs="0"/>
                <xsd:element ref="ns2:Statu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Propriedades da Política de Conformidade Unificada" ma:hidden="true" ma:internalName="_ip_UnifiedCompliancePolicyProperties">
      <xsd:simpleType>
        <xsd:restriction base="dms:Note"/>
      </xsd:simpleType>
    </xsd:element>
    <xsd:element name="_ip_UnifiedCompliancePolicyUIAction" ma:index="11"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5d67614-f831-4c1a-b0ce-cc8ab3613f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8ba655b3-91bc-415c-bde2-f58ae48cbc7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_Flow_SignoffStatus" ma:index="20" nillable="true" ma:displayName="Status de liberação" ma:format="Dropdown" ma:internalName="Status_x0020_de_x0020_libera_x00e7__x00e3_o">
      <xsd:simpleType>
        <xsd:restriction base="dms:Text">
          <xsd:maxLength value="255"/>
        </xsd:restriction>
      </xsd:simpleType>
    </xsd:element>
    <xsd:element name="Status" ma:index="23" nillable="true" ma:displayName="Status" ma:description="Controle de pareceres enviados sem conferência" ma:format="Dropdown" ma:internalName="Status">
      <xsd:simpleType>
        <xsd:restriction base="dms:Choice">
          <xsd:enumeration value="Não Conferido"/>
          <xsd:enumeration value="Conferido"/>
          <xsd:enumeration value="Escolha 3 "/>
        </xsd:restrictio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Location" ma:index="25" nillable="true" ma:displayName="Location" ma:description="" ma:indexed="true" ma:internalName="MediaServiceLocation"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7fd1fe-d491-41e7-9dcd-363a8ae85ed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e4bd4a1-8705-49ba-8628-855fe8951d25}" ma:internalName="TaxCatchAll" ma:showField="CatchAllData" ma:web="767fd1fe-d491-41e7-9dcd-363a8ae85ed5">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45d67614-f831-4c1a-b0ce-cc8ab3613f3c" xsi:nil="true"/>
    <TaxCatchAll xmlns="767fd1fe-d491-41e7-9dcd-363a8ae85ed5" xsi:nil="true"/>
    <lcf76f155ced4ddcb4097134ff3c332f xmlns="45d67614-f831-4c1a-b0ce-cc8ab3613f3c">
      <Terms xmlns="http://schemas.microsoft.com/office/infopath/2007/PartnerControls"/>
    </lcf76f155ced4ddcb4097134ff3c332f>
    <Status xmlns="45d67614-f831-4c1a-b0ce-cc8ab3613f3c"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02FCBF7E-6B76-4459-9114-90CFE0DFE400}">
  <ds:schemaRefs>
    <ds:schemaRef ds:uri="http://schemas.microsoft.com/sharepoint/v3/contenttype/forms"/>
  </ds:schemaRefs>
</ds:datastoreItem>
</file>

<file path=customXml/itemProps2.xml><?xml version="1.0" encoding="utf-8"?>
<ds:datastoreItem xmlns:ds="http://schemas.openxmlformats.org/officeDocument/2006/customXml" ds:itemID="{90DBE818-CD45-4F95-8342-FBBB7B94E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5d67614-f831-4c1a-b0ce-cc8ab3613f3c"/>
    <ds:schemaRef ds:uri="767fd1fe-d491-41e7-9dcd-363a8ae85e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728CE4-81C3-4C94-A2DD-7E48E98D1900}">
  <ds:schemaRefs>
    <ds:schemaRef ds:uri="http://schemas.microsoft.com/office/2006/metadata/properties"/>
    <ds:schemaRef ds:uri="http://schemas.microsoft.com/office/infopath/2007/PartnerControls"/>
    <ds:schemaRef ds:uri="http://schemas.microsoft.com/sharepoint/v3"/>
    <ds:schemaRef ds:uri="45d67614-f831-4c1a-b0ce-cc8ab3613f3c"/>
    <ds:schemaRef ds:uri="767fd1fe-d491-41e7-9dcd-363a8ae85ed5"/>
  </ds:schemaRefs>
</ds:datastoreItem>
</file>

<file path=docMetadata/LabelInfo.xml><?xml version="1.0" encoding="utf-8"?>
<clbl:labelList xmlns:clbl="http://schemas.microsoft.com/office/2020/mipLabelMetadata">
  <clbl:label id="{7158201a-9c91-4077-8c8c-35afb0b2b6e2}" enabled="1" method="Privileged" siteId="{97ce2340-9c1d-45b1-a835-7ea811b6fe9a}"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Planilhas</vt:lpstr>
      </vt:variant>
      <vt:variant>
        <vt:i4>9</vt:i4>
      </vt:variant>
      <vt:variant>
        <vt:lpstr>Intervalos Nomeados</vt:lpstr>
      </vt:variant>
      <vt:variant>
        <vt:i4>22</vt:i4>
      </vt:variant>
    </vt:vector>
  </HeadingPairs>
  <TitlesOfParts>
    <vt:vector size="31" baseType="lpstr">
      <vt:lpstr>Formulário</vt:lpstr>
      <vt:lpstr>Notas Explicativas</vt:lpstr>
      <vt:lpstr>Resp Seg Barragem</vt:lpstr>
      <vt:lpstr>Apoio</vt:lpstr>
      <vt:lpstr>Dados</vt:lpstr>
      <vt:lpstr>Conferencia</vt:lpstr>
      <vt:lpstr>Conversao Potência</vt:lpstr>
      <vt:lpstr>GFC</vt:lpstr>
      <vt:lpstr>Revisao</vt:lpstr>
      <vt:lpstr>Formulário!Area_de_impressao</vt:lpstr>
      <vt:lpstr>Demanda_a_contratar</vt:lpstr>
      <vt:lpstr>E_Máximo</vt:lpstr>
      <vt:lpstr>E_Mínimo</vt:lpstr>
      <vt:lpstr>Grupo</vt:lpstr>
      <vt:lpstr>Mensagem_Erro</vt:lpstr>
      <vt:lpstr>N_Máximo</vt:lpstr>
      <vt:lpstr>N_Mínimo</vt:lpstr>
      <vt:lpstr>Outros_Trafos_Particulares</vt:lpstr>
      <vt:lpstr>Pot_Ativa_Instalada</vt:lpstr>
      <vt:lpstr>Ramal</vt:lpstr>
      <vt:lpstr>TblDisj_1</vt:lpstr>
      <vt:lpstr>TensãoA</vt:lpstr>
      <vt:lpstr>TensãoB</vt:lpstr>
      <vt:lpstr>TipoFonte</vt:lpstr>
      <vt:lpstr>TipoFonte1</vt:lpstr>
      <vt:lpstr>TipoFonte2</vt:lpstr>
      <vt:lpstr>TipoRamal</vt:lpstr>
      <vt:lpstr>Tipos_Edificações</vt:lpstr>
      <vt:lpstr>Tipos_Lig_Trafos</vt:lpstr>
      <vt:lpstr>TipoSE</vt:lpstr>
      <vt:lpstr>Formulário!Titulos_de_impressao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2023-05-12T17:27:30Z</cp:lastPrinted>
  <dcterms:created xsi:type="dcterms:W3CDTF">2006-09-16T00:00:00Z</dcterms:created>
  <dcterms:modified xsi:type="dcterms:W3CDTF">2024-11-01T17:55:45Z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31d8ac-5ed3-47a6-a906-d47f78cf87da_Enabled">
    <vt:lpwstr>true</vt:lpwstr>
  </property>
  <property fmtid="{D5CDD505-2E9C-101B-9397-08002B2CF9AE}" pid="3" name="MSIP_Label_1631d8ac-5ed3-47a6-a906-d47f78cf87da_SetDate">
    <vt:lpwstr>2022-05-31T19:59:14Z</vt:lpwstr>
  </property>
  <property fmtid="{D5CDD505-2E9C-101B-9397-08002B2CF9AE}" pid="4" name="MSIP_Label_1631d8ac-5ed3-47a6-a906-d47f78cf87da_Method">
    <vt:lpwstr>Standard</vt:lpwstr>
  </property>
  <property fmtid="{D5CDD505-2E9C-101B-9397-08002B2CF9AE}" pid="5" name="MSIP_Label_1631d8ac-5ed3-47a6-a906-d47f78cf87da_Name">
    <vt:lpwstr>Uso interno</vt:lpwstr>
  </property>
  <property fmtid="{D5CDD505-2E9C-101B-9397-08002B2CF9AE}" pid="6" name="MSIP_Label_1631d8ac-5ed3-47a6-a906-d47f78cf87da_SiteId">
    <vt:lpwstr>97ce2340-9c1d-45b1-a835-7ea811b6fe9a</vt:lpwstr>
  </property>
  <property fmtid="{D5CDD505-2E9C-101B-9397-08002B2CF9AE}" pid="7" name="MSIP_Label_1631d8ac-5ed3-47a6-a906-d47f78cf87da_ActionId">
    <vt:lpwstr>e5750626-1fcd-433d-bfef-a53f72cd9267</vt:lpwstr>
  </property>
  <property fmtid="{D5CDD505-2E9C-101B-9397-08002B2CF9AE}" pid="8" name="MSIP_Label_1631d8ac-5ed3-47a6-a906-d47f78cf87da_ContentBits">
    <vt:lpwstr>0</vt:lpwstr>
  </property>
  <property fmtid="{D5CDD505-2E9C-101B-9397-08002B2CF9AE}" pid="9" name="ContentTypeId">
    <vt:lpwstr>0x0101008D33EF0AC48BE443A3D81189F34FC699</vt:lpwstr>
  </property>
  <property fmtid="{D5CDD505-2E9C-101B-9397-08002B2CF9AE}" pid="10" name="MediaServiceImageTags">
    <vt:lpwstr/>
  </property>
</Properties>
</file>